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2025\IR 17 - 18  FISE\EQP SANTIAGO BAYACORA\"/>
    </mc:Choice>
  </mc:AlternateContent>
  <bookViews>
    <workbookView xWindow="0" yWindow="0" windowWidth="24150" windowHeight="4200" tabRatio="624" firstSheet="2" activeTab="2"/>
  </bookViews>
  <sheets>
    <sheet name="DESGLOSE" sheetId="44" state="hidden" r:id="rId1"/>
    <sheet name="DESGLOSE 1" sheetId="46" state="hidden" r:id="rId2"/>
    <sheet name="SANTIAGO BAYACORA AL TANQUE (2)" sheetId="48" r:id="rId3"/>
  </sheets>
  <externalReferences>
    <externalReference r:id="rId4"/>
  </externalReferences>
  <definedNames>
    <definedName name="\a" localSheetId="2">'SANTIAGO BAYACORA AL TANQUE (2)'!$H$5</definedName>
    <definedName name="\a">#REF!</definedName>
    <definedName name="\A_" localSheetId="2">'SANTIAGO BAYACORA AL TANQUE (2)'!$H$5</definedName>
    <definedName name="\A_">#REF!</definedName>
    <definedName name="\z" localSheetId="2">'SANTIAGO BAYACORA AL TANQUE (2)'!$H$4</definedName>
    <definedName name="\z">#REF!</definedName>
    <definedName name="_xlnm._FilterDatabase" localSheetId="2" hidden="1">'SANTIAGO BAYACORA AL TANQUE (2)'!$A$13:$BH$27</definedName>
    <definedName name="_Regression_Int" localSheetId="2" hidden="1">1</definedName>
    <definedName name="ALT">#REF!</definedName>
    <definedName name="_xlnm.Print_Area" localSheetId="2">'SANTIAGO BAYACORA AL TANQUE (2)'!$A$1:$G$221</definedName>
    <definedName name="CASETA" localSheetId="2">#N/A</definedName>
    <definedName name="CASETA">#REF!</definedName>
    <definedName name="Catálogo">#REF!</definedName>
    <definedName name="CERCO" localSheetId="2">#N/A</definedName>
    <definedName name="CERCO">#REF!</definedName>
    <definedName name="D">#N/A</definedName>
    <definedName name="DESCARGA" localSheetId="2">#N/A</definedName>
    <definedName name="DESCARGA">#N/A</definedName>
    <definedName name="ELECTRIF" localSheetId="2">#N/A</definedName>
    <definedName name="ELECTRIF">#N/A</definedName>
    <definedName name="ES" localSheetId="2">'SANTIAGO BAYACORA AL TANQUE (2)'!$A$1:$B$5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2">'SANTIAGO BAYACORA AL TANQUE (2)'!$A$9:$G$233</definedName>
    <definedName name="Imprimir_área_IM">#REF!</definedName>
    <definedName name="Imprimir_títulos_IM" localSheetId="2">'SANTIAGO BAYACORA AL TANQUE (2)'!$1:$8</definedName>
    <definedName name="N">#N/A</definedName>
    <definedName name="T">#N/A</definedName>
    <definedName name="TANQUE1" localSheetId="2">#N/A</definedName>
    <definedName name="TANQUE1">#REF!</definedName>
    <definedName name="TANQUE2" localSheetId="2">#N/A</definedName>
    <definedName name="TANQUE2">#REF!</definedName>
    <definedName name="_xlnm.Print_Titles" localSheetId="2">'SANTIAGO BAYACORA AL TANQUE (2)'!$1:$8</definedName>
    <definedName name="TODO" localSheetId="2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8" l="1"/>
  <c r="D179" i="48" l="1"/>
  <c r="B212" i="48" l="1"/>
  <c r="A212" i="48"/>
  <c r="B210" i="48"/>
  <c r="A210" i="48"/>
  <c r="B208" i="48"/>
  <c r="A208" i="48"/>
  <c r="B206" i="48"/>
  <c r="A206" i="48"/>
  <c r="B204" i="48"/>
  <c r="B202" i="48"/>
  <c r="B200" i="48"/>
  <c r="A200" i="48"/>
  <c r="B198" i="48"/>
  <c r="A198" i="48"/>
  <c r="B196" i="48"/>
  <c r="A196" i="48"/>
  <c r="B194" i="48"/>
  <c r="A194" i="48"/>
  <c r="G187" i="48"/>
  <c r="L206" i="48" s="1"/>
  <c r="M206" i="48" s="1"/>
  <c r="N206" i="48" s="1"/>
  <c r="G186" i="48"/>
  <c r="G185" i="48"/>
  <c r="G183" i="48"/>
  <c r="G181" i="48"/>
  <c r="G179" i="48"/>
  <c r="G177" i="48"/>
  <c r="G175" i="48"/>
  <c r="D171" i="48"/>
  <c r="G171" i="48" s="1"/>
  <c r="D167" i="48"/>
  <c r="G167" i="48" s="1"/>
  <c r="D165" i="48"/>
  <c r="G165" i="48" s="1"/>
  <c r="D163" i="48"/>
  <c r="G163" i="48" s="1"/>
  <c r="D161" i="48"/>
  <c r="G161" i="48" s="1"/>
  <c r="D157" i="48"/>
  <c r="G157" i="48" s="1"/>
  <c r="D156" i="48"/>
  <c r="G156" i="48" s="1"/>
  <c r="G155" i="48"/>
  <c r="G153" i="48"/>
  <c r="D152" i="48"/>
  <c r="G152" i="48" s="1"/>
  <c r="D150" i="48"/>
  <c r="G150" i="48" s="1"/>
  <c r="D148" i="48"/>
  <c r="G148" i="48" s="1"/>
  <c r="D147" i="48"/>
  <c r="G147" i="48" s="1"/>
  <c r="D143" i="48"/>
  <c r="G143" i="48" s="1"/>
  <c r="D141" i="48"/>
  <c r="G141" i="48" s="1"/>
  <c r="D139" i="48"/>
  <c r="G139" i="48" s="1"/>
  <c r="G135" i="48"/>
  <c r="G134" i="48"/>
  <c r="G132" i="48"/>
  <c r="G130" i="48"/>
  <c r="G129" i="48"/>
  <c r="G128" i="48"/>
  <c r="G126" i="48"/>
  <c r="G124" i="48"/>
  <c r="G122" i="48"/>
  <c r="G120" i="48"/>
  <c r="G118" i="48"/>
  <c r="G117" i="48"/>
  <c r="G116" i="48"/>
  <c r="G114" i="48"/>
  <c r="G110" i="48"/>
  <c r="G108" i="48"/>
  <c r="G107" i="48"/>
  <c r="G105" i="48"/>
  <c r="G103" i="48"/>
  <c r="G101" i="48"/>
  <c r="G99" i="48"/>
  <c r="G97" i="48"/>
  <c r="G95" i="48"/>
  <c r="G91" i="48"/>
  <c r="G89" i="48"/>
  <c r="G88" i="48"/>
  <c r="G87" i="48"/>
  <c r="G86" i="48"/>
  <c r="G85" i="48"/>
  <c r="G84" i="48"/>
  <c r="G82" i="48"/>
  <c r="G81" i="48"/>
  <c r="G79" i="48"/>
  <c r="G77" i="48"/>
  <c r="G75" i="48"/>
  <c r="G73" i="48"/>
  <c r="G71" i="48"/>
  <c r="G69" i="48"/>
  <c r="G67" i="48"/>
  <c r="G65" i="48"/>
  <c r="G61" i="48"/>
  <c r="G60" i="48"/>
  <c r="G59" i="48"/>
  <c r="G58" i="48"/>
  <c r="G57" i="48"/>
  <c r="G55" i="48"/>
  <c r="G54" i="48"/>
  <c r="G53" i="48"/>
  <c r="G52" i="48"/>
  <c r="G51" i="48"/>
  <c r="G50" i="48"/>
  <c r="G49" i="48"/>
  <c r="G48" i="48"/>
  <c r="G44" i="48"/>
  <c r="G43" i="48"/>
  <c r="G42" i="48"/>
  <c r="G41" i="48"/>
  <c r="G40" i="48"/>
  <c r="G39" i="48"/>
  <c r="G38" i="48"/>
  <c r="G35" i="48"/>
  <c r="G34" i="48"/>
  <c r="G33" i="48"/>
  <c r="G32" i="48"/>
  <c r="G31" i="48"/>
  <c r="G30" i="48"/>
  <c r="G29" i="48"/>
  <c r="G24" i="48"/>
  <c r="G23" i="48"/>
  <c r="G19" i="48"/>
  <c r="F196" i="48" s="1"/>
  <c r="G196" i="48" s="1"/>
  <c r="G15" i="48"/>
  <c r="F194" i="48" s="1"/>
  <c r="G194" i="48" s="1"/>
  <c r="D169" i="48" l="1"/>
  <c r="G169" i="48" s="1"/>
  <c r="G144" i="48"/>
  <c r="D210" i="48" s="1"/>
  <c r="G45" i="48"/>
  <c r="F204" i="48" s="1"/>
  <c r="G204" i="48" s="1"/>
  <c r="G36" i="48"/>
  <c r="F202" i="48" s="1"/>
  <c r="G202" i="48" s="1"/>
  <c r="G172" i="48"/>
  <c r="D212" i="48" s="1"/>
  <c r="G92" i="48"/>
  <c r="F206" i="48" s="1"/>
  <c r="G16" i="48"/>
  <c r="G111" i="48"/>
  <c r="D208" i="48" s="1"/>
  <c r="G62" i="48"/>
  <c r="D206" i="48" s="1"/>
  <c r="G136" i="48"/>
  <c r="F208" i="48" s="1"/>
  <c r="G25" i="48"/>
  <c r="F198" i="48" s="1"/>
  <c r="G198" i="48" s="1"/>
  <c r="G20" i="48"/>
  <c r="G188" i="48"/>
  <c r="F212" i="48" s="1"/>
  <c r="G158" i="48"/>
  <c r="F210" i="48" s="1"/>
  <c r="G210" i="48" l="1"/>
  <c r="L194" i="48"/>
  <c r="M194" i="48" s="1"/>
  <c r="N194" i="48" s="1"/>
  <c r="L196" i="48"/>
  <c r="M196" i="48" s="1"/>
  <c r="N196" i="48" s="1"/>
  <c r="O196" i="48" s="1"/>
  <c r="G212" i="48"/>
  <c r="G208" i="48"/>
  <c r="G206" i="48"/>
  <c r="H204" i="48"/>
  <c r="H212" i="48" l="1"/>
  <c r="L204" i="48"/>
  <c r="M204" i="48" s="1"/>
  <c r="N204" i="48" s="1"/>
  <c r="O204" i="48" s="1"/>
  <c r="H210" i="48"/>
  <c r="L202" i="48"/>
  <c r="M202" i="48" s="1"/>
  <c r="N202" i="48" s="1"/>
  <c r="H208" i="48"/>
  <c r="L200" i="48"/>
  <c r="M200" i="48" s="1"/>
  <c r="N200" i="48" s="1"/>
  <c r="H206" i="48"/>
  <c r="L198" i="48"/>
  <c r="G216" i="48"/>
  <c r="L208" i="48" l="1"/>
  <c r="M198" i="48"/>
  <c r="N198" i="48" s="1"/>
  <c r="O194" i="48" s="1"/>
  <c r="O208" i="48" s="1"/>
  <c r="G217" i="48"/>
  <c r="G219" i="48" s="1"/>
  <c r="H11" i="48" s="1"/>
  <c r="M208" i="48" l="1"/>
  <c r="N208" i="48" s="1"/>
  <c r="L210" i="48"/>
  <c r="J39" i="46" l="1"/>
  <c r="J38" i="46"/>
  <c r="G37" i="46"/>
  <c r="J37" i="46" s="1"/>
  <c r="E36" i="46"/>
  <c r="J36" i="46" s="1"/>
  <c r="E35" i="46"/>
  <c r="J35" i="46" s="1"/>
  <c r="E34" i="46"/>
  <c r="G34" i="46" s="1"/>
  <c r="J25" i="46"/>
  <c r="J24" i="46"/>
  <c r="G23" i="46"/>
  <c r="J23" i="46" s="1"/>
  <c r="E22" i="46"/>
  <c r="J22" i="46" s="1"/>
  <c r="E21" i="46"/>
  <c r="J21" i="46" s="1"/>
  <c r="E20" i="46"/>
  <c r="G20" i="46" s="1"/>
  <c r="E6" i="46"/>
  <c r="J6" i="46" s="1"/>
  <c r="J11" i="46"/>
  <c r="J10" i="46"/>
  <c r="G9" i="46"/>
  <c r="J9" i="46" s="1"/>
  <c r="E8" i="46"/>
  <c r="J8" i="46" s="1"/>
  <c r="E7" i="46"/>
  <c r="J7" i="46" s="1"/>
  <c r="J34" i="46" l="1"/>
  <c r="J40" i="46" s="1"/>
  <c r="J42" i="46" s="1"/>
  <c r="G35" i="46"/>
  <c r="G36" i="46"/>
  <c r="J20" i="46"/>
  <c r="J26" i="46" s="1"/>
  <c r="J28" i="46" s="1"/>
  <c r="G22" i="46"/>
  <c r="G21" i="46"/>
  <c r="G7" i="46"/>
  <c r="G8" i="46"/>
  <c r="J12" i="46"/>
  <c r="J14" i="46" s="1"/>
  <c r="G6" i="46"/>
  <c r="D129" i="44" l="1"/>
  <c r="D137" i="44"/>
  <c r="D133" i="44"/>
  <c r="C11" i="44"/>
  <c r="D139" i="44" l="1"/>
  <c r="D141" i="44" s="1"/>
  <c r="C116" i="44" l="1"/>
  <c r="D116" i="44" s="1"/>
  <c r="C112" i="44"/>
  <c r="D112" i="44" s="1"/>
  <c r="C108" i="44"/>
  <c r="D108" i="44" s="1"/>
  <c r="B87" i="44"/>
  <c r="C95" i="44"/>
  <c r="D95" i="44" s="1"/>
  <c r="C91" i="44"/>
  <c r="D91" i="44" s="1"/>
  <c r="C74" i="44"/>
  <c r="D74" i="44" s="1"/>
  <c r="C60" i="44"/>
  <c r="D60" i="44" s="1"/>
  <c r="C70" i="44"/>
  <c r="D70" i="44" s="1"/>
  <c r="C66" i="44"/>
  <c r="D66" i="44" s="1"/>
  <c r="C56" i="44"/>
  <c r="D56" i="44" s="1"/>
  <c r="C52" i="44"/>
  <c r="D52" i="44" s="1"/>
  <c r="C48" i="44"/>
  <c r="D48" i="44" s="1"/>
  <c r="C35" i="44"/>
  <c r="D35" i="44" s="1"/>
  <c r="C30" i="44"/>
  <c r="D30" i="44" s="1"/>
  <c r="C25" i="44"/>
  <c r="D25" i="44" s="1"/>
  <c r="D118" i="44" l="1"/>
  <c r="D120" i="44" s="1"/>
  <c r="D37" i="44"/>
  <c r="D39" i="44" s="1"/>
  <c r="D87" i="44"/>
  <c r="D97" i="44" s="1"/>
  <c r="D76" i="44"/>
  <c r="D78" i="44" s="1"/>
  <c r="D99" i="44" l="1"/>
  <c r="D11" i="44" l="1"/>
  <c r="C6" i="44"/>
  <c r="D6" i="44" s="1"/>
  <c r="D14" i="44" l="1"/>
  <c r="D16" i="44" s="1"/>
</calcChain>
</file>

<file path=xl/sharedStrings.xml><?xml version="1.0" encoding="utf-8"?>
<sst xmlns="http://schemas.openxmlformats.org/spreadsheetml/2006/main" count="528" uniqueCount="302">
  <si>
    <t>SUBTOTAL</t>
  </si>
  <si>
    <t>GOBIERNO DEL ESTADO DE DURANGO</t>
  </si>
  <si>
    <t>CLAVE</t>
  </si>
  <si>
    <t>DESCRIPCION DEL CONCEPTO</t>
  </si>
  <si>
    <t>UNIDAD</t>
  </si>
  <si>
    <t>CANTIDAD</t>
  </si>
  <si>
    <t>IMPORTE</t>
  </si>
  <si>
    <t>SISTEMA</t>
  </si>
  <si>
    <t>COMISIÓN DEL AGUA DEL ESTADO</t>
  </si>
  <si>
    <t xml:space="preserve">RESUMEN </t>
  </si>
  <si>
    <t>TOTAL</t>
  </si>
  <si>
    <t>$</t>
  </si>
  <si>
    <t>NOMBRE DE LA EMPRESA O PERSONA FISICA</t>
  </si>
  <si>
    <t xml:space="preserve">OBRA:  </t>
  </si>
  <si>
    <t xml:space="preserve">LOCALIDAD:  </t>
  </si>
  <si>
    <t xml:space="preserve">MUNICIPIO:  </t>
  </si>
  <si>
    <t>IVA 16%</t>
  </si>
  <si>
    <t>PZA</t>
  </si>
  <si>
    <t>1005 01</t>
  </si>
  <si>
    <t>M2</t>
  </si>
  <si>
    <t>M3</t>
  </si>
  <si>
    <t>4030 02</t>
  </si>
  <si>
    <t>4080 02</t>
  </si>
  <si>
    <t>CIMBRA (M2)</t>
  </si>
  <si>
    <t>CONCRETO F´C=150 KG/CM2 (M3)</t>
  </si>
  <si>
    <t>4000 01</t>
  </si>
  <si>
    <t>LIMPIEZA Y TRAZO</t>
  </si>
  <si>
    <t>1000 06</t>
  </si>
  <si>
    <t>DADO (MAMPOSTERIA DE PIEDRA)</t>
  </si>
  <si>
    <t>MORTERO</t>
  </si>
  <si>
    <t>4100 01</t>
  </si>
  <si>
    <t>VARILLA NO.4</t>
  </si>
  <si>
    <t>4090 01</t>
  </si>
  <si>
    <t>ESTRIBOS</t>
  </si>
  <si>
    <t>4090 02</t>
  </si>
  <si>
    <t>CONCRETO F´C=200 KG/CM2</t>
  </si>
  <si>
    <t>4030 04</t>
  </si>
  <si>
    <t>4080 03</t>
  </si>
  <si>
    <t>ZAPATA</t>
  </si>
  <si>
    <t>4080 01</t>
  </si>
  <si>
    <t>ARMEX</t>
  </si>
  <si>
    <t>4080 04</t>
  </si>
  <si>
    <t>VARILLA 3/8</t>
  </si>
  <si>
    <t>BLOCK 12X20X40</t>
  </si>
  <si>
    <t xml:space="preserve">MORTERO 1:5 </t>
  </si>
  <si>
    <t>CONCRETO 150 KG/CM2</t>
  </si>
  <si>
    <t>1.- ENCOFRADO</t>
  </si>
  <si>
    <t>2.-DADO DE CIMENTACIÓN</t>
  </si>
  <si>
    <t xml:space="preserve">3.-CONSTRUCCION DE COLUMNA </t>
  </si>
  <si>
    <t>4.-CASTILLO</t>
  </si>
  <si>
    <t>5.-LOSA</t>
  </si>
  <si>
    <t>6.-MURO DE BLOCK</t>
  </si>
  <si>
    <t>ML</t>
  </si>
  <si>
    <t>MANO DE OBRA</t>
  </si>
  <si>
    <t>A005A</t>
  </si>
  <si>
    <t>LIMPIEZA Y TRAZO EN EL ÁREA DE TRABAJO</t>
  </si>
  <si>
    <t>D080</t>
  </si>
  <si>
    <t>D080D</t>
  </si>
  <si>
    <t>P.G.</t>
  </si>
  <si>
    <t>MATERIALES</t>
  </si>
  <si>
    <t>D030</t>
  </si>
  <si>
    <t>D030D</t>
  </si>
  <si>
    <t>DE F'C=200 KG/CM2</t>
  </si>
  <si>
    <t>D090</t>
  </si>
  <si>
    <t>KG</t>
  </si>
  <si>
    <t>D080B</t>
  </si>
  <si>
    <t>D030B</t>
  </si>
  <si>
    <t>DE F'C=150 KG/CM2</t>
  </si>
  <si>
    <t>D000</t>
  </si>
  <si>
    <t>SUMINISTRO Y COLOCACIÓN DE ACERO DE REFUERZO EN ESTRUCTURAS, INCLUYE SUMINISTRO EN LA BODEGA DE LA OBRA, DESPERDICIOS, ALAMBRE DE AMARRE, HABILITACIÓN Y COLOCACIÓN</t>
  </si>
  <si>
    <t>A401B</t>
  </si>
  <si>
    <t>B160</t>
  </si>
  <si>
    <t>B170</t>
  </si>
  <si>
    <t>SUMINISTRO DE EMPAQUES DE NEOPRENO</t>
  </si>
  <si>
    <t>H022</t>
  </si>
  <si>
    <t>VÁLVULA DE NO RETORNO (CHECK) (125 PSI) PUESTA EN OBRA…</t>
  </si>
  <si>
    <t>H023</t>
  </si>
  <si>
    <t>CASETA DE CLORACIÓN</t>
  </si>
  <si>
    <t>EXCAVACIÓN DE 0.00 A 2.00 METROS DE PROFUNDIDAD</t>
  </si>
  <si>
    <t>APLANADO CON MORTERO CEMENTO-ARENA 1:5 DE 1.50 CM DE ESPESOR</t>
  </si>
  <si>
    <t>ENLADRILLADO, JUNTEADO CON MORTERO CEMENTO-ARENA 1:5</t>
  </si>
  <si>
    <t>D090A</t>
  </si>
  <si>
    <t>SUMINISTRO Y COLOCACIÓN DE ACERO DE REFUERZO</t>
  </si>
  <si>
    <t>VINILICA EN INTERIORES Y EXTERIORES (TRES MANOS)</t>
  </si>
  <si>
    <t>PG</t>
  </si>
  <si>
    <t>PISO DE CONCRETO SIMPLE DE 8 CM DE ESPESOR TOTAL</t>
  </si>
  <si>
    <t>SALIDA PARA CENTRO DE LUZ O CONTACTO…</t>
  </si>
  <si>
    <t>D302A</t>
  </si>
  <si>
    <t>A050</t>
  </si>
  <si>
    <t>A050A</t>
  </si>
  <si>
    <t>A100</t>
  </si>
  <si>
    <t>A130</t>
  </si>
  <si>
    <t>A130A</t>
  </si>
  <si>
    <t>CON MATERIAL PRODUCTO DE LA EXCAVACIÓN</t>
  </si>
  <si>
    <t>A131</t>
  </si>
  <si>
    <t>A131A</t>
  </si>
  <si>
    <t>B243</t>
  </si>
  <si>
    <t>B243B</t>
  </si>
  <si>
    <t>SENCILLO 1.10 M CON CANAL DE 100 MM (4")</t>
  </si>
  <si>
    <t>B244</t>
  </si>
  <si>
    <t>B244C</t>
  </si>
  <si>
    <t>H005</t>
  </si>
  <si>
    <t>SUMINISTRO DE TORNILLOS CON CABEZA Y TUERCA HEXAGONAL, PUESTOS EN EL ALMACEN DE LA OBRA</t>
  </si>
  <si>
    <t>L</t>
  </si>
  <si>
    <t>A</t>
  </si>
  <si>
    <t>H</t>
  </si>
  <si>
    <t>SUB</t>
  </si>
  <si>
    <t>U</t>
  </si>
  <si>
    <t>EXCAVACION</t>
  </si>
  <si>
    <t>1010 02</t>
  </si>
  <si>
    <t>CIMBRA</t>
  </si>
  <si>
    <t>CEMENTO</t>
  </si>
  <si>
    <t>VARILLA</t>
  </si>
  <si>
    <t>ABRAZADERA</t>
  </si>
  <si>
    <t>ANCLAS</t>
  </si>
  <si>
    <t>FABRICACION DE ATRAQUES DE CONCRETO 0.25 x 0.25 x 1.00</t>
  </si>
  <si>
    <t>FABRICACION DE ATRAQUES DE CONCRETO 0.30 x0.30 x0.30</t>
  </si>
  <si>
    <t>FABRICACION DE ATRAQUES DE CONCRETO 0.50 x0.50 x0.50</t>
  </si>
  <si>
    <t>EQUIPAMIENTO DE POZO</t>
  </si>
  <si>
    <t>S/C-1</t>
  </si>
  <si>
    <t>SUBESTACIÓN ELÉCTRICA DE POZO</t>
  </si>
  <si>
    <t>IUB1</t>
  </si>
  <si>
    <t>SUMINISTRO, INSTALACIÓN Y PRUEBA DE SUBESTACIÓN ELÉCTRICA COMPLETA, DE 30 KVA CON UNA RELACIÓN DE TRANSFORMACIÓN 34,500 KV-440/220 VOLTS TIPO OA,. INCLUYE TRANSFORMADOR, ESTRUCTURA TIPO 1TR3B PARA 34,500 V., POSTES DE CONCRETO, CUCHILLAS, APARTARRAYOS, HERRAJES, BAJANTE DE TIERRA , MUFA, BASE PARA MEDIDOR, INTERRUPTOR TERMOGENICO, CONEXIONES Y TODO LO NECESARIO PARA SU CORRECTO FUNCIONAMIENTO.</t>
  </si>
  <si>
    <t xml:space="preserve">P.G. </t>
  </si>
  <si>
    <t>ELECTRIFICACIÓN DE POZO</t>
  </si>
  <si>
    <t>IUA1</t>
  </si>
  <si>
    <t>LÍNEA DE TRANSMISIÓN DE ENERGÍA ELÉCTRICA AISLADO A 34,500 VOLTS.  INCLUYE CUARTO HILO, PROYECTO, PLANOS Y LIBRANZA ANTE C.F.E.</t>
  </si>
  <si>
    <t>KM</t>
  </si>
  <si>
    <t>IUA2</t>
  </si>
  <si>
    <t>ELECTRIFICACIÓN DE POZO ENERGIA SOLAR</t>
  </si>
  <si>
    <t>TORNILLO GALVANIZADO GRADO 5 DE  3/4”X1 1/2”, ARANDELA GALVANIZADA DE PRESION 7/8”, RONDANA PLANA GALVANIZADA 1 1/4”, TUERCA GALVANIZADA EXAGONAL 3/4”</t>
  </si>
  <si>
    <t>PERNO DE ANCLAJE DE HIERRO GALVANIZADO GRADO 2 DE 2" X 1/2</t>
  </si>
  <si>
    <t>BASE DE ACERO DE 25 X 25 CM X 20 CM</t>
  </si>
  <si>
    <t xml:space="preserve">CANAL U DE ALUMINIO DE 6 M, 3 MM  DE ESPESOR </t>
  </si>
  <si>
    <t>ANGULO DE ALUMINIO DE 4 M, 7 MM DE ESPESOR</t>
  </si>
  <si>
    <t>ESTRUCTURA</t>
  </si>
  <si>
    <t>FTV 1</t>
  </si>
  <si>
    <t>FTV 2</t>
  </si>
  <si>
    <t>SUMINISTRO  E INSTALACION DE INVERSOR F- DRIVE SOLAR 2418 MP PARA SIST. SOLAR FOTOVOLTAICO AISLADO EN GABINETE 150X55X105 CM. TIPO INTERPERIE.</t>
  </si>
  <si>
    <t>FTV 4</t>
  </si>
  <si>
    <t>SUMINISTRO E INSTALACION DE CABLE USO FOTOVOLTAICO INTEMPERIE MC4 CAL. 10, INCLUYE CONECTORES HEMBRA Y MACHO.</t>
  </si>
  <si>
    <t>FTV 5</t>
  </si>
  <si>
    <t>SUMINISTRO E INSTALACION DE APARTARRAYOS TRIFASICO FRANKLIN 600 V.</t>
  </si>
  <si>
    <t>FTV 6</t>
  </si>
  <si>
    <t>SUMINISTRO E INSTALACION DE SUPRESOR DE PICOS 3H, 1000 VCD.</t>
  </si>
  <si>
    <t>FTV 7</t>
  </si>
  <si>
    <t>SUMINISTRO E INSTALACION DE INTERRUPTOR TERMOMAGNETICO 30 A. 480  V. CON ZAPATAS</t>
  </si>
  <si>
    <t>FTV 8</t>
  </si>
  <si>
    <t>SUMINISTRO E INSTALACION DE INTERCONEXION DEL SISTEMA FOTOV. A LA BOMBA., INCLUYE CABLE THW NO. 8, TUBERIA CONDUIT, TUBERIA PAD, REGISTRO DE CONCRETO PREFABRICADO EN PISO 40X40X40 CM. CON TAPA ETC.</t>
  </si>
  <si>
    <t>LOTE</t>
  </si>
  <si>
    <t>EXCAVACIÓN A MANO PARA DESPLANTE DE ESTRUCTURAS, EN MATERIAL "A Y/O B", EN SECO, CON AFLOJE Y EXTRACCIÓN DEL MATERIAL, AMACICE O LIMPIEZA DE PLANTILLA Y TALUDES, REMOCIÓN, ACARREO HASTA 10 METROS DENTRO DE LA MISMA Y TRASPALEOS VERTICALES PARA SU EXTRACCIÓN.</t>
  </si>
  <si>
    <t>CIMBRA DE MADERA PARA ACABADOS NO APARENTES.  INCLUYE: FLETES Y MANIOBRAS LOCALES DEL MATERIAL, FABRICACIÓN, CIMBRADO, DESCIMBRADO Y TERMINADO DEL ÁREA COLADA.</t>
  </si>
  <si>
    <t>D080E</t>
  </si>
  <si>
    <t>MUROS HASTA 3.00 METROS DE ALTURA</t>
  </si>
  <si>
    <t>Y023A</t>
  </si>
  <si>
    <t>SUMINISTRO E INSTALACIÓN DE ABRAZADERAS DE SOLERA CON ESPESOR DE 1/4" (0.635 CM) Y 3" (7.62 CM) DE ANCHO.</t>
  </si>
  <si>
    <t>Y024A</t>
  </si>
  <si>
    <t>SUMINISTRO E INSTALACIÓN DE ANCLAS DE 5/8" (15.9) MM DE DIÁMETRO CON UNA LONGITUD DE 0.50 METROS.</t>
  </si>
  <si>
    <t>INSTALACIÓN DE VÁLVULAS DE SECCIONAMIENTO, INCLUYE LIMPIEZA E INSTALACIÓN DE LA PIEZA, ASÍ COMO PRUEBA HIDROSTÁTICA (JUNTO CON TUBERÍA)</t>
  </si>
  <si>
    <t>INSTALACIÓN DE VÁLVULAS CHECK, INCLUYE LIMPIEZA E INSTALACIÓN DE LAS PIEZAS, ASÍ COMO PRUEBA HIDROSTÁTICA (JUNTO CON TUBERÍA)</t>
  </si>
  <si>
    <t>B060</t>
  </si>
  <si>
    <t>INSTALACIÓN, JUNTEO DE TUBERÍA DE ACERO SOLDADA, TIPO API "8" 0 X-42.  INCLUYE CARGA DE ALMACEN A VEHICULO, ACARREO AL SITIO DE COLOCACIÓN, DESCARGA, DISTRIBUCIÓN, DOBLADO, LIMPIEZA INTERIOR, REBISELADO, ALINEADO, SOLDADURA A TOPE DE TUBO, PREPARACIÓN DE UNIONES SOLDADAS, BAJADO A LA ZANJA, LLENADO, LIMPIEZA INTERIOR, VACIADO.</t>
  </si>
  <si>
    <t>FABRICACIÓN Y COLADO DE CONCRETO SIMPLE, VIBRADO Y CURADO CON MEMBRANA.  INCLUYE OBTENCIÓN DE ARENAS, GRAVAS, CRIBADO, ACARREOS, DESCARGA,  ALMACENAMIENTO DEL CEMENTO, FABRICACIÓN DEL CONCRETO Y COLOCACIÓN.</t>
  </si>
  <si>
    <t>H018</t>
  </si>
  <si>
    <t>H018 03</t>
  </si>
  <si>
    <t>DE 19 MM X 89 MM (3/4" X 3 1/2")</t>
  </si>
  <si>
    <t xml:space="preserve">H020 </t>
  </si>
  <si>
    <t>PZA.</t>
  </si>
  <si>
    <t>H021</t>
  </si>
  <si>
    <t>SUMINISTRO DE JUNTAS GIBAULT COMPLETAS, PUESTAS EN EL ALMACEN DE LA OBRA</t>
  </si>
  <si>
    <t>SUMINISTRO DE VÁLVULAS ELIMINADORAS DE AIRE (150 PSI) CUERPO DE HIERRO GRIS ASTM-A 126 GRADO B FLOTADOR ACERO INOXIDABLE ASTM A240 Y PINTURA EPÓXICA, L.A.B. EN EL ALMACEN DE LA OBRA…</t>
  </si>
  <si>
    <t>H022 01</t>
  </si>
  <si>
    <t>CON ORIFICIO DE VENTEO DE 1/16" DE 1/2" DE DIÁMETRO</t>
  </si>
  <si>
    <t>H035</t>
  </si>
  <si>
    <t>VÁLVULAS DE COMPUERTA VÁSTAGO FIJO DE (125 PSI) PUESTA EN OBRA</t>
  </si>
  <si>
    <t>H036</t>
  </si>
  <si>
    <t>H038</t>
  </si>
  <si>
    <t>SUMINISTRO E INSTALACIÓN DE MEDIDORES TIPO PALETA COMPLETOS, MODELO MLFST-MP, L.A.B. EN OBRA…</t>
  </si>
  <si>
    <t>SUMINISTRO E INSTALACIÓN DE MANÓMETRO. L.A.B. EN OBRA</t>
  </si>
  <si>
    <t>G025</t>
  </si>
  <si>
    <t>PIEZAS ESPECIALES DE ACERO, SUMINISTRO,  FABRICACIÓN E INSTALACIÓN</t>
  </si>
  <si>
    <t>H069</t>
  </si>
  <si>
    <t>SUMINISTRO DE TUBERÍA DE ACERO NORMA ASTM A-53, ACERO AL CARBÓN, ESTREMOS BISELADO L.A.B. EN OBRA…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</si>
  <si>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</si>
  <si>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MAMPOSTERÍA DE TERCERA UTILIZANDO PIEDRA DE PEPENA, CON PARAMENTOS ROSTREADOS JUNTEADA CON MORTERO CEMENTO-ARENA.  INCLUYE OBTENCIÓN, SELECCIÓN, ACARREOS, CRIBADO DE ARENA, DESCARGA,  ALMACENAMIENTO DEL CEMENTO, FABRICACIÓN DE MORTERO, ELABORACIÓN DE MAMPOSTERÍA Y TERMINADO DEL MURO.</t>
  </si>
  <si>
    <t>D000A</t>
  </si>
  <si>
    <t>MURO DE MAMPOSTERÍA JUNTEADO CON MORTERO CEMENTO-ARENA 1:5</t>
  </si>
  <si>
    <t>RELLENO DE ZANJAS CON MATERIALES "A Y/O B".  INCLUYE SELECCIÓN Y VOLTEO DEL MATERIAL</t>
  </si>
  <si>
    <t>A VOLTEO CON MATERIAL PRODUCTO DE LA EXCAVACIÓN, CON PALA DE MANO</t>
  </si>
  <si>
    <t>D020</t>
  </si>
  <si>
    <t>MUROS DE TABIQUE ROJO RECOCIDO, HASTA 6.00 METROS DE ALTURA, JUNTEADO CON MORTERO CEMENTO-ARENA 1:5.  INCLUYE ACARREOS, DESCARGA, ALMACENAMIENTO DEL CEMENTO, FABRICACIÓN DE MORTERO, ASENTADO DEL TABIQUE Y TERMINADO DEL MURO.</t>
  </si>
  <si>
    <t>D020A</t>
  </si>
  <si>
    <t>DE 14 CMS DE ESPESOR</t>
  </si>
  <si>
    <t>EN DALAS, CASTILLOS Y CERRAMIENTOS</t>
  </si>
  <si>
    <t>LOSAS CON ALTURA DE OBRA FALSA HASTA 3.60 METROS DE ALTURA</t>
  </si>
  <si>
    <t>D130</t>
  </si>
  <si>
    <t>ACABADOS DE AZOTEAS, CON TODOS LOS MATERIALES Y MANO DE OBRA…</t>
  </si>
  <si>
    <t>D130A</t>
  </si>
  <si>
    <t>D092A</t>
  </si>
  <si>
    <t>SUMINISTRO E INSTALACION DE ARMEX DE 15X15 CM</t>
  </si>
  <si>
    <t>D100</t>
  </si>
  <si>
    <t>APLANADOS Y EMBOQUILLADOS, CON TODOS LOS MATERIALES Y MANO DE OBRA.  INCLUYE OBTENCIÓN, CRIBADO DE ARENA, DESCARGA, ACARREO, ALMACENAMIENTO DEL CEMENTO Y CALHIDRA, FABRICACIÓN DE MORTERO, COLOCACIÓN DEL APLANADO Y TERMINADO DE LA SUPERFICIE.</t>
  </si>
  <si>
    <t>D100A</t>
  </si>
  <si>
    <t>G001</t>
  </si>
  <si>
    <t>SUMINISTRO E INSTALACIÓN DE PUERTAS.  INCLUYE MATERIALES EN OBRA, FLETES, MANIOBRAS LOCALES, HABILITACIÓN INCLUYENDO SOLDADURA, BISAGRAS, PINTURA ANTICORROSIVA, INSTALACIÓN Y AMACICE CON MORTERO NECESARIO.</t>
  </si>
  <si>
    <t>G001A</t>
  </si>
  <si>
    <t>DE HERRERÍA ESTRUCTURAL, PERFILES Z, T Y L TAMBOR DOBLE DE LÁMINA Nº 18</t>
  </si>
  <si>
    <t>G002</t>
  </si>
  <si>
    <t>SUMINISTRO E INSTALACIÓN DE VENTANAS.  INCLUYE MATERIALES EN OBRA, FLETES, MANIOBRAS LOCALES, HABILITACIÓN INCLUYENDO SOLDADURA, PINTURA ANTICORROSIVA, INSTALACIÓN Y AMACICE CON MORTERO NECESARIO.</t>
  </si>
  <si>
    <t>G002A</t>
  </si>
  <si>
    <t>DE HERRERÍA ESTRUCTURAL, PERFILES Z, T Y L</t>
  </si>
  <si>
    <t>G003</t>
  </si>
  <si>
    <t>VIDRIERÍA, INCLUYE SUMINISTRO DE MATERIALES EN OBRA, FLETES Y MANIOBRAS LOCALES, INSTALACIÓN, AJUSTE Y LIMPIEZA</t>
  </si>
  <si>
    <t>G003C</t>
  </si>
  <si>
    <t>SUMINISTRO Y COLOCACIÓN DE VIDRIO SENCILLO 2 MM.</t>
  </si>
  <si>
    <t>G004</t>
  </si>
  <si>
    <t>SUMINISTRO Y COLOCACIÓN DE PINTURA…</t>
  </si>
  <si>
    <t>G004A</t>
  </si>
  <si>
    <t>G004C</t>
  </si>
  <si>
    <t>ESMALTE EN HERRERÍA</t>
  </si>
  <si>
    <t>G004D</t>
  </si>
  <si>
    <t xml:space="preserve">PINTURA DE LOGOTIPO </t>
  </si>
  <si>
    <t>D110</t>
  </si>
  <si>
    <t>PISOS, LAMBRINES Y ZOCLOS, CON TODOS LOS MATERIALES Y MANO DE OBRA.  INCLUYE SUMINISTRO DE MATERIALES EN OBRA, OBTENCIÓN Y CERNIDO DE ARENA, ACARREOS, DESCARGA, ALMACENAJE DEL CEMENTO, FABRICACIÓN DEL MORTERO, COLOCACIÓN DEL PISO, LAMBRINES O VAGUETAS.</t>
  </si>
  <si>
    <t>D110G</t>
  </si>
  <si>
    <t>E010</t>
  </si>
  <si>
    <t>E010C</t>
  </si>
  <si>
    <t>SALIDA PARA CENTRO DE LUZ O CONTACTO CON SALIDA , TUBO CONDUIT 3/4" DE DIÁMETRO DE LÁMINA NEGRA ESMALTADA, PARED DELGADA PARA  APAGADOR DE ESCALERA.</t>
  </si>
  <si>
    <t>SAL</t>
  </si>
  <si>
    <t>H093 04</t>
  </si>
  <si>
    <t>SUMINISTRO E INSTALACIÓN DE EQUIPO DE CLORACIÓN DE HIPOCLORITO DE CALCIO A BASE DE PULSACIONES MAGNÉTICAS CON EQUIPO DE DESINFECCIÓN DE 1 A 5 LPS Y VENCER UNA CARCA DINÁMICA TOTAL DE 10 KG.  INCLUYE FLETES Y MANIOBRAS LOCALES, ASÍ COMO UNA CUBETA DE TABLETAS DE HIPOCLORITO DE CALCIO.</t>
  </si>
  <si>
    <t>D035</t>
  </si>
  <si>
    <t>CONCRETO CICLÓPEO EN CIMENTACIONES</t>
  </si>
  <si>
    <t>SUMINISTRO Y COLOCACIÓN DE PISO DE GRAVA TRITURADA T.M.A. 19 MM (3/4") CON 10 CENTÍMETROS DE ESPESOR</t>
  </si>
  <si>
    <t>EXCAVACIÓN CON MÁQUINA PARA ZANJAS, EN MATERIAL "A Y/O B", EN SECO, CON AFLOJE Y EXTRACCIÓN DEL MATERIAL, AMACICE O LIMPIEZA DE PLANTILLA Y TALUDES, REMOCIÓN, CARGA A CAMIÓN A UN LADO DE LA ZANJA. INCLUYE ACARREO A 10 METROS DEL EJE DE LA MISMA Y CONSERVACIÓN DE LA EXCAVACIÓN HASTA LA INSTALACIÓN SATISFACTORIA DE LA TUBERÍA.</t>
  </si>
  <si>
    <t>A131C</t>
  </si>
  <si>
    <t>COMPACTADO AL 85% PROCTOR, CON MATERIAL PRODUCTO DE LA EXCAVACIÓN</t>
  </si>
  <si>
    <t>SUMINISTRO E INSTALACIÓN DE CONTRAMARCOS, INCLUYE MATERIALES Y MANO DE OBRA, ASÍ COMO ACARREO Y MANIOBRAS LOCALES (PLANO TIPO 1957)</t>
  </si>
  <si>
    <t>SUMINISTRO E INSTALACIÓN DE MARCO CON TAPA, INCLUYE MATERIALES Y MANO DE OBRA</t>
  </si>
  <si>
    <t>FIERRO FUNDIDO DE 50 X 50 CM CON PESO DE 55 KG</t>
  </si>
  <si>
    <t>SUMINISTRO E INSTALACIÓN DE PIEZAS ESPECIALES DE PVC RÍGIDO, L.A.B. EN OBRA.</t>
  </si>
  <si>
    <t>ATRAQUES DE CONCRETO CON F'C=150 KG/CM2 DE 0.30X0.30X0.30 MTS., INCLUYE: AGREGADOS, CIMBRA, EXCAVACIÓN, FLETES, ACARREOS Y TODO LO NECESARIO PARA SU CORRECTA COLOCACIÓN</t>
  </si>
  <si>
    <t>TORNILLO GALVANIZADO 1/2”X3/4”, ARANDELA GALVANIZADA DE PRESION 9/16”, RONDANA PLANA GALVANIZADA 7/8”, TUERCA GALVANIZADA HEXAGONAL 1/2”</t>
  </si>
  <si>
    <t>EST-P1</t>
  </si>
  <si>
    <t>EST-P2</t>
  </si>
  <si>
    <t>EST-P3</t>
  </si>
  <si>
    <t>EST-P4</t>
  </si>
  <si>
    <t>EST-P5</t>
  </si>
  <si>
    <t>EST-P6</t>
  </si>
  <si>
    <t>EST-P7</t>
  </si>
  <si>
    <t xml:space="preserve"> ESTRUCTURA PARA PANELES</t>
  </si>
  <si>
    <t xml:space="preserve"> SISTEMA SOLAR</t>
  </si>
  <si>
    <t>TORNILLO GALVANIZADO GRADO 5 DE  3/8”X 4”, ARANDELA GALVANIZADA DE PRESION 7/8”, RONDANA PLANA GALVANIZADA 1 1/4”, TUERCA GALVANIZADA HEXAGONAL 3/8”</t>
  </si>
  <si>
    <t>CERCO DE PROTECCIÓN</t>
  </si>
  <si>
    <r>
      <t>DE F'C=150 KG/CM</t>
    </r>
    <r>
      <rPr>
        <vertAlign val="superscript"/>
        <sz val="9"/>
        <rFont val="Arial Narrow"/>
        <family val="2"/>
      </rPr>
      <t>2</t>
    </r>
  </si>
  <si>
    <t>D092B</t>
  </si>
  <si>
    <t>SUMINISTRO E INSTALACION DE ARMEX DE 20X15 CM</t>
  </si>
  <si>
    <t>D125</t>
  </si>
  <si>
    <t>CERCO  Y REJAS DE FIERRO, INCLUYE SUMINISTRO DE MATERIALES EN OBRA, FLETES, MANIOBRAS LOCALES, PINTURA DE ACEITE, INSTALACIÓN DE POSTES, MARCOS Y MALLA.</t>
  </si>
  <si>
    <t>D125A</t>
  </si>
  <si>
    <t>CERCA DE MALLA DE ALAMBRE Nº 10  DE 51X51 MM. INCLUYE 3 LÍNEAS DE PUAS, POSTE GALVANIZADO Y REPISONES, ESPADAS Y TODO LO NECESARIO PARA SU CORRECTA INSTALACIÓN.</t>
  </si>
  <si>
    <t>D125E</t>
  </si>
  <si>
    <t>PUERTA DE MALLA GALVANIZADA EN DOS HOJAS DE 2.00  x 2.00 m C/U, INCLUYE POSTES, ALAMBRE DE PÚAS, BISAGRAS, PASADORES Y TODOS LOS HERRAJES NECESARIOS PARA SU BUEN FUNCIONAMIENTO.</t>
  </si>
  <si>
    <t>s/c-3</t>
  </si>
  <si>
    <t>SUMINISTRO E INSTALACIÓN DE HULE NEGRO ANTIPASTO</t>
  </si>
  <si>
    <t>PRECIO CON NÚMERO</t>
  </si>
  <si>
    <t>DESCARGA HIDRÁULICA 100 MM (4") DE DIÁMETRO</t>
  </si>
  <si>
    <t>DE 4" DE DIÁMETRO Y 6.35 MM DE ESPESOR</t>
  </si>
  <si>
    <t>DE 4" DE DIAMETRO.</t>
  </si>
  <si>
    <t>CODO DE 90° DE 4" DE DIÁMETRO</t>
  </si>
  <si>
    <t>CODO DE 45° DE 4" DE DIÁMETRO</t>
  </si>
  <si>
    <t>TEE DE 4" DE DIÁMETRO</t>
  </si>
  <si>
    <t>TAPÓN PARA BRIDA DE ACERO DE 4" DE DIÁMETRO</t>
  </si>
  <si>
    <t>BRIDAS DE ACERO, SUMINISTRO,  FABRICACIÓN E INSTALACIÓN DE 4" DE DIÁMETRO.</t>
  </si>
  <si>
    <t>DE 4" DE DIÁMETRO</t>
  </si>
  <si>
    <t>DE 4" DE DIAMETRO</t>
  </si>
  <si>
    <t>de 4" DE DIAMETRO ESPESOR 6.35 MM</t>
  </si>
  <si>
    <t>BRIDA DE PVC DE 4" DE DIÁMETRO</t>
  </si>
  <si>
    <t>SOLAR</t>
  </si>
  <si>
    <t>S/C</t>
  </si>
  <si>
    <t>SUMINISTRO Y COLOCACIÓN DE PLACA INFORMATIVA A LA CONCLUSIÓN DE LA OBRA FABRICADA CON MATERIAL NO ENDEBLE. DISEÑO DE ACUERDO AL PROPORCIONADO POR LA DEPENDENCIA CON DIMENSIONES MINIMAS DE 0.50X0.70 M</t>
  </si>
  <si>
    <t>SANTIAGO BAYACORA</t>
  </si>
  <si>
    <t>DURANGO</t>
  </si>
  <si>
    <r>
      <t xml:space="preserve">SUMINISTRO E INSTALACIÓN DE EQUIPO DE BOMBEO (CON BOMBA SUMERGIBLE) ACCIONADO POR ENERGÍA ELÉCTRICA CAPAZ DE PROPORCONAR UN GASTO DE </t>
    </r>
    <r>
      <rPr>
        <b/>
        <sz val="9"/>
        <rFont val="Arial Narrow"/>
        <family val="2"/>
      </rPr>
      <t xml:space="preserve">4 </t>
    </r>
    <r>
      <rPr>
        <sz val="9"/>
        <rFont val="Arial Narrow"/>
        <family val="2"/>
      </rPr>
      <t xml:space="preserve">LITROS POR SEGUNDO, MEDIDOS EN LA LLEGADA DEL TANQUE DE REGULARIZACIÓN, VENCER UNA CARGA DINÁMICA DE </t>
    </r>
    <r>
      <rPr>
        <b/>
        <sz val="9"/>
        <rFont val="Arial Narrow"/>
        <family val="2"/>
      </rPr>
      <t>240</t>
    </r>
    <r>
      <rPr>
        <sz val="9"/>
        <rFont val="Arial Narrow"/>
        <family val="2"/>
      </rPr>
      <t xml:space="preserve"> METROS.  INCLUYE </t>
    </r>
    <r>
      <rPr>
        <b/>
        <sz val="9"/>
        <rFont val="Arial Narrow"/>
        <family val="2"/>
      </rPr>
      <t>135</t>
    </r>
    <r>
      <rPr>
        <sz val="9"/>
        <rFont val="Arial Narrow"/>
        <family val="2"/>
      </rPr>
      <t xml:space="preserve"> METROS DE COLUMNA CON TUBERÍA DE FIERRO GALVANIZADO DE </t>
    </r>
    <r>
      <rPr>
        <b/>
        <sz val="9"/>
        <rFont val="Arial Narrow"/>
        <family val="2"/>
      </rPr>
      <t>4</t>
    </r>
    <r>
      <rPr>
        <sz val="9"/>
        <rFont val="Arial Narrow"/>
        <family val="2"/>
      </rPr>
      <t>" DE DIÁMETRO CEDULA 40 CON COPLE, CABLE SUMERGIBLE TRES HILOS THW, INVERSOR-ARRANCADOR, TUBERÍA CONDUIT PG 3/4" DE DIÁMETRO, BASE DE DESCARGA Y TODOS LOS ACCESORIOS NECESARIOS PARA LA PROTECCIÓN, INSTALACIÓN Y CORRECTO FUNCIONAMIENTO DEL EQUIPO.</t>
    </r>
  </si>
  <si>
    <t>DERIVACIÓN DE LA LÍNEA DE TRANSMISIÓN ELÉCTRICA DE DISTRIBUCIÓN PARA CONEXIÓN DE SUBESTACIÓN ELÉCTRICA AISLADA EN 30 KV. .  INCLUYE ACOMETIDA EN ALTA TENSIÓN, POSTE Y EQUIPOS DE CONTROL, ACCESORIOS Y HERRAJES, MATERIALES Y MANO DE OBRA.</t>
  </si>
  <si>
    <t>LINEA DE CONDUCCIÓN</t>
  </si>
  <si>
    <t>EN ZONA B DE 0 A 6.00 METROS DE PROFUNDIDAD</t>
  </si>
  <si>
    <t>EXCAVACIÓN CON USO DE EQUIPO NEUMÁTICO PARA ZANJAS, EN MATERIAL "C" EN SECO Y EXTRACCIÓN DE REZAGA A MANO, INCLUYE AFLOJE AMACICE O LIMPIEZA DE PLANTILLA Y TALUDES, REMOCIÓN, TRASPALEOS VERTICALES PARA SU EXTRACCIÓN Y CONSERVACIÓN DE LA EXCAVACIÓN HASTA LA INSTALACIÓN SATISFACTORIA DE LA TUBERÍA EN ZONA "B".</t>
  </si>
  <si>
    <t>2050 00</t>
  </si>
  <si>
    <t>INSTALACIÓN, JUNTEO Y PRUEBA DE TUBERÍA DE POLIETILENO DE ALTA DENSIDAD, INCLUYE: BAJADO, MATERIAL Y EQUIPO PARA PRUEBA, ACARREO Y MANIOBRAS LOCALES.</t>
  </si>
  <si>
    <t>8011 00</t>
  </si>
  <si>
    <t>SUMINISTRO DE TUBERÍA DE POLIETILENO DE ALTA DENSIDAD, TIPO…, L.A.B. FABRICA</t>
  </si>
  <si>
    <t>RD17 DE 4" DE DIÁMETRO</t>
  </si>
  <si>
    <t>DE 152 MM ( 4" ) DE DIAMETRO</t>
  </si>
  <si>
    <r>
      <t>SUMINISTRO E INSTALACION DE PANEL SOLAR FOTOVOLTAICO DE</t>
    </r>
    <r>
      <rPr>
        <b/>
        <sz val="9"/>
        <rFont val="Arial Narrow"/>
        <family val="2"/>
      </rPr>
      <t xml:space="preserve"> 600  W </t>
    </r>
    <r>
      <rPr>
        <sz val="9"/>
        <rFont val="Arial Narrow"/>
        <family val="2"/>
      </rPr>
      <t>MONO 144 CELL.</t>
    </r>
  </si>
  <si>
    <t>LONGITUD</t>
  </si>
  <si>
    <t>Construcción de Sistema de Agua Potable. (Equipamiento de pozo con sistema fotovoltaico, subestación eléctrica y electrificación de pozo, descarga hidráulica, caseta de cloración, cerco de protección y línea de conducción)</t>
  </si>
  <si>
    <t>DESCARGA HIDRAULICA</t>
  </si>
  <si>
    <t>CERCO DE RPOTECCIÓN</t>
  </si>
  <si>
    <t>PLACA INFORMATIVA</t>
  </si>
  <si>
    <t xml:space="preserve">EQUIPO Y ELECTRIFICACIÓN ELECTRICA </t>
  </si>
  <si>
    <t>PRECIO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</si>
</sst>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?_-;_-@_-"/>
  </numFmts>
  <fonts count="31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sz val="6"/>
      <name val="Arial Narrow"/>
      <family val="2"/>
    </font>
    <font>
      <sz val="10"/>
      <color theme="1"/>
      <name val="Calibri"/>
      <family val="2"/>
      <scheme val="minor"/>
    </font>
    <font>
      <b/>
      <sz val="9"/>
      <color theme="5" tint="0.39997558519241921"/>
      <name val="Helv"/>
    </font>
    <font>
      <sz val="9"/>
      <color theme="1"/>
      <name val="Helv"/>
    </font>
    <font>
      <sz val="10"/>
      <name val="Century Gothic"/>
      <family val="2"/>
    </font>
    <font>
      <sz val="10"/>
      <color rgb="FFFF000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7"/>
      <color rgb="FFFF0000"/>
      <name val="Arial Narrow"/>
      <family val="2"/>
    </font>
    <font>
      <b/>
      <sz val="9"/>
      <color theme="1"/>
      <name val="Arial Narrow"/>
      <family val="2"/>
    </font>
    <font>
      <vertAlign val="superscript"/>
      <sz val="9"/>
      <name val="Arial Narrow"/>
      <family val="2"/>
    </font>
    <font>
      <b/>
      <sz val="9"/>
      <color theme="4" tint="-0.249977111117893"/>
      <name val="Arial Narrow"/>
      <family val="2"/>
    </font>
    <font>
      <sz val="7.5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indexed="8"/>
      </left>
      <right style="double">
        <color indexed="8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</borders>
  <cellStyleXfs count="16">
    <xf numFmtId="0" fontId="0" fillId="0" borderId="0"/>
    <xf numFmtId="0" fontId="6" fillId="0" borderId="0"/>
    <xf numFmtId="39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0" fontId="3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201">
    <xf numFmtId="0" fontId="0" fillId="0" borderId="0" xfId="0"/>
    <xf numFmtId="0" fontId="6" fillId="0" borderId="0" xfId="1"/>
    <xf numFmtId="0" fontId="6" fillId="0" borderId="0" xfId="1" applyAlignment="1">
      <alignment horizontal="left"/>
    </xf>
    <xf numFmtId="0" fontId="14" fillId="0" borderId="0" xfId="1" applyFont="1"/>
    <xf numFmtId="0" fontId="14" fillId="3" borderId="0" xfId="3" applyFont="1" applyFill="1" applyAlignment="1">
      <alignment horizontal="left" vertical="top" wrapText="1"/>
    </xf>
    <xf numFmtId="39" fontId="14" fillId="0" borderId="0" xfId="2" applyFont="1"/>
    <xf numFmtId="39" fontId="14" fillId="4" borderId="0" xfId="2" applyFont="1" applyFill="1"/>
    <xf numFmtId="0" fontId="0" fillId="0" borderId="0" xfId="0" applyAlignment="1">
      <alignment horizontal="center"/>
    </xf>
    <xf numFmtId="44" fontId="0" fillId="0" borderId="0" xfId="13" applyFont="1"/>
    <xf numFmtId="0" fontId="0" fillId="0" borderId="0" xfId="0" applyAlignment="1">
      <alignment horizontal="center" vertical="center"/>
    </xf>
    <xf numFmtId="44" fontId="0" fillId="0" borderId="0" xfId="0" applyNumberFormat="1"/>
    <xf numFmtId="2" fontId="0" fillId="0" borderId="0" xfId="0" applyNumberFormat="1" applyAlignment="1">
      <alignment horizontal="center" vertical="center"/>
    </xf>
    <xf numFmtId="0" fontId="13" fillId="5" borderId="5" xfId="1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horizontal="left" vertical="top" wrapText="1"/>
    </xf>
    <xf numFmtId="43" fontId="14" fillId="0" borderId="0" xfId="10" applyFont="1" applyFill="1" applyBorder="1"/>
    <xf numFmtId="43" fontId="14" fillId="0" borderId="0" xfId="10" applyFont="1" applyBorder="1"/>
    <xf numFmtId="0" fontId="14" fillId="2" borderId="0" xfId="0" applyFont="1" applyFill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4" fillId="2" borderId="6" xfId="0" quotePrefix="1" applyFont="1" applyFill="1" applyBorder="1" applyAlignment="1">
      <alignment horizontal="center" vertical="top"/>
    </xf>
    <xf numFmtId="39" fontId="14" fillId="0" borderId="7" xfId="2" applyFont="1" applyBorder="1" applyAlignment="1">
      <alignment horizontal="center" vertical="top"/>
    </xf>
    <xf numFmtId="39" fontId="13" fillId="0" borderId="7" xfId="2" applyFont="1" applyBorder="1" applyAlignment="1">
      <alignment horizontal="center" vertical="top"/>
    </xf>
    <xf numFmtId="4" fontId="14" fillId="0" borderId="7" xfId="1" applyNumberFormat="1" applyFont="1" applyBorder="1" applyAlignment="1">
      <alignment horizontal="right" vertical="top"/>
    </xf>
    <xf numFmtId="0" fontId="14" fillId="3" borderId="12" xfId="3" applyFont="1" applyFill="1" applyBorder="1" applyAlignment="1">
      <alignment horizontal="left" vertical="top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23" fillId="0" borderId="0" xfId="1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2" fontId="23" fillId="0" borderId="3" xfId="0" applyNumberFormat="1" applyFont="1" applyBorder="1" applyAlignment="1">
      <alignment horizontal="center" vertical="center"/>
    </xf>
    <xf numFmtId="44" fontId="23" fillId="0" borderId="0" xfId="13" applyFont="1" applyAlignment="1">
      <alignment horizontal="center" vertical="center"/>
    </xf>
    <xf numFmtId="44" fontId="24" fillId="0" borderId="0" xfId="13" applyFont="1" applyAlignment="1">
      <alignment horizontal="center" vertical="center"/>
    </xf>
    <xf numFmtId="43" fontId="7" fillId="0" borderId="0" xfId="10" applyFont="1" applyBorder="1"/>
    <xf numFmtId="0" fontId="7" fillId="0" borderId="0" xfId="1" applyFont="1"/>
    <xf numFmtId="0" fontId="10" fillId="0" borderId="6" xfId="1" applyFont="1" applyBorder="1"/>
    <xf numFmtId="39" fontId="12" fillId="0" borderId="6" xfId="1" applyNumberFormat="1" applyFont="1" applyBorder="1"/>
    <xf numFmtId="43" fontId="7" fillId="0" borderId="0" xfId="10" applyFont="1" applyBorder="1" applyAlignment="1" applyProtection="1">
      <alignment horizontal="left"/>
    </xf>
    <xf numFmtId="0" fontId="11" fillId="2" borderId="6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right"/>
    </xf>
    <xf numFmtId="0" fontId="13" fillId="5" borderId="0" xfId="1" applyFont="1" applyFill="1" applyAlignment="1">
      <alignment horizontal="center" vertical="center"/>
    </xf>
    <xf numFmtId="39" fontId="13" fillId="5" borderId="0" xfId="1" applyNumberFormat="1" applyFont="1" applyFill="1" applyAlignment="1">
      <alignment horizontal="center" vertical="center"/>
    </xf>
    <xf numFmtId="4" fontId="14" fillId="3" borderId="0" xfId="1" applyNumberFormat="1" applyFont="1" applyFill="1" applyAlignment="1">
      <alignment horizontal="center" vertical="top"/>
    </xf>
    <xf numFmtId="0" fontId="13" fillId="5" borderId="14" xfId="1" applyFont="1" applyFill="1" applyBorder="1" applyAlignment="1">
      <alignment horizontal="center" vertical="center"/>
    </xf>
    <xf numFmtId="0" fontId="13" fillId="5" borderId="15" xfId="1" applyFont="1" applyFill="1" applyBorder="1" applyAlignment="1">
      <alignment horizontal="center" vertical="center"/>
    </xf>
    <xf numFmtId="0" fontId="14" fillId="0" borderId="16" xfId="1" applyFont="1" applyBorder="1"/>
    <xf numFmtId="39" fontId="14" fillId="0" borderId="0" xfId="2" applyFont="1" applyAlignment="1">
      <alignment horizontal="center" vertical="top"/>
    </xf>
    <xf numFmtId="43" fontId="6" fillId="0" borderId="0" xfId="10" applyFont="1" applyBorder="1"/>
    <xf numFmtId="0" fontId="13" fillId="5" borderId="17" xfId="1" applyFont="1" applyFill="1" applyBorder="1" applyAlignment="1">
      <alignment horizontal="center" vertical="center"/>
    </xf>
    <xf numFmtId="0" fontId="14" fillId="2" borderId="17" xfId="4" applyFont="1" applyFill="1" applyBorder="1" applyAlignment="1">
      <alignment horizontal="center" vertical="top"/>
    </xf>
    <xf numFmtId="0" fontId="13" fillId="5" borderId="17" xfId="1" applyFont="1" applyFill="1" applyBorder="1" applyAlignment="1">
      <alignment horizontal="center" vertical="center" wrapText="1"/>
    </xf>
    <xf numFmtId="4" fontId="14" fillId="7" borderId="0" xfId="1" applyNumberFormat="1" applyFont="1" applyFill="1" applyAlignment="1">
      <alignment horizontal="center" vertical="top"/>
    </xf>
    <xf numFmtId="43" fontId="14" fillId="0" borderId="0" xfId="10" applyFont="1" applyBorder="1" applyAlignment="1">
      <alignment horizontal="center" vertical="top"/>
    </xf>
    <xf numFmtId="39" fontId="13" fillId="4" borderId="0" xfId="2" applyFont="1" applyFill="1" applyAlignment="1">
      <alignment horizontal="center" vertical="top"/>
    </xf>
    <xf numFmtId="0" fontId="14" fillId="3" borderId="17" xfId="3" applyFont="1" applyFill="1" applyBorder="1" applyAlignment="1">
      <alignment horizontal="left" vertical="top" wrapText="1"/>
    </xf>
    <xf numFmtId="39" fontId="14" fillId="6" borderId="0" xfId="2" applyFont="1" applyFill="1" applyAlignment="1">
      <alignment horizontal="center" vertical="top"/>
    </xf>
    <xf numFmtId="0" fontId="7" fillId="3" borderId="0" xfId="3" applyFont="1" applyFill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10" fillId="3" borderId="0" xfId="3" applyFont="1" applyFill="1" applyAlignment="1">
      <alignment horizontal="left" vertical="center" wrapText="1"/>
    </xf>
    <xf numFmtId="0" fontId="10" fillId="3" borderId="0" xfId="3" applyFont="1" applyFill="1" applyAlignment="1">
      <alignment horizontal="left" vertical="top" wrapText="1"/>
    </xf>
    <xf numFmtId="0" fontId="10" fillId="0" borderId="0" xfId="3" applyFont="1" applyAlignment="1">
      <alignment horizontal="left" vertical="top" wrapText="1"/>
    </xf>
    <xf numFmtId="43" fontId="7" fillId="0" borderId="0" xfId="10" applyFont="1" applyFill="1" applyBorder="1"/>
    <xf numFmtId="0" fontId="10" fillId="0" borderId="0" xfId="0" applyFont="1" applyAlignment="1">
      <alignment horizontal="center" vertical="top"/>
    </xf>
    <xf numFmtId="4" fontId="7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center" vertical="center"/>
    </xf>
    <xf numFmtId="39" fontId="14" fillId="4" borderId="0" xfId="2" applyFont="1" applyFill="1" applyAlignment="1">
      <alignment horizontal="center" vertical="top"/>
    </xf>
    <xf numFmtId="39" fontId="13" fillId="0" borderId="0" xfId="2" applyFont="1" applyAlignment="1">
      <alignment horizontal="center" vertical="top"/>
    </xf>
    <xf numFmtId="39" fontId="14" fillId="6" borderId="0" xfId="2" applyFont="1" applyFill="1"/>
    <xf numFmtId="0" fontId="13" fillId="5" borderId="8" xfId="1" applyFont="1" applyFill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39" fontId="13" fillId="5" borderId="10" xfId="1" applyNumberFormat="1" applyFont="1" applyFill="1" applyBorder="1" applyAlignment="1">
      <alignment horizontal="center" vertical="center"/>
    </xf>
    <xf numFmtId="39" fontId="10" fillId="0" borderId="7" xfId="2" applyFont="1" applyBorder="1" applyAlignment="1">
      <alignment horizontal="right" vertical="top"/>
    </xf>
    <xf numFmtId="39" fontId="7" fillId="0" borderId="7" xfId="2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top"/>
    </xf>
    <xf numFmtId="4" fontId="7" fillId="0" borderId="7" xfId="1" applyNumberFormat="1" applyFont="1" applyBorder="1" applyAlignment="1">
      <alignment horizontal="right" vertical="center"/>
    </xf>
    <xf numFmtId="43" fontId="14" fillId="0" borderId="0" xfId="10" applyFont="1" applyBorder="1" applyAlignment="1">
      <alignment vertical="top"/>
    </xf>
    <xf numFmtId="43" fontId="14" fillId="8" borderId="0" xfId="10" applyFont="1" applyFill="1" applyBorder="1" applyAlignment="1">
      <alignment vertical="top"/>
    </xf>
    <xf numFmtId="4" fontId="27" fillId="0" borderId="0" xfId="1" applyNumberFormat="1" applyFont="1"/>
    <xf numFmtId="44" fontId="14" fillId="0" borderId="0" xfId="13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11" fillId="0" borderId="0" xfId="1" applyFont="1" applyAlignment="1">
      <alignment horizontal="centerContinuous"/>
    </xf>
    <xf numFmtId="0" fontId="11" fillId="0" borderId="7" xfId="1" applyFont="1" applyBorder="1" applyAlignment="1">
      <alignment horizontal="centerContinuous"/>
    </xf>
    <xf numFmtId="39" fontId="16" fillId="5" borderId="0" xfId="1" applyNumberFormat="1" applyFont="1" applyFill="1" applyAlignment="1">
      <alignment horizontal="left" vertical="top"/>
    </xf>
    <xf numFmtId="0" fontId="11" fillId="4" borderId="0" xfId="1" applyFont="1" applyFill="1" applyAlignment="1">
      <alignment horizontal="left"/>
    </xf>
    <xf numFmtId="0" fontId="11" fillId="2" borderId="19" xfId="1" applyFont="1" applyFill="1" applyBorder="1" applyAlignment="1">
      <alignment horizontal="right"/>
    </xf>
    <xf numFmtId="39" fontId="16" fillId="5" borderId="20" xfId="1" applyNumberFormat="1" applyFont="1" applyFill="1" applyBorder="1" applyAlignment="1">
      <alignment horizontal="left" vertical="top"/>
    </xf>
    <xf numFmtId="0" fontId="11" fillId="4" borderId="20" xfId="1" applyFont="1" applyFill="1" applyBorder="1" applyAlignment="1">
      <alignment horizontal="left"/>
    </xf>
    <xf numFmtId="0" fontId="26" fillId="5" borderId="21" xfId="1" applyFont="1" applyFill="1" applyBorder="1" applyAlignment="1">
      <alignment horizontal="center"/>
    </xf>
    <xf numFmtId="39" fontId="13" fillId="5" borderId="22" xfId="1" applyNumberFormat="1" applyFont="1" applyFill="1" applyBorder="1" applyAlignment="1">
      <alignment horizontal="center" vertical="center"/>
    </xf>
    <xf numFmtId="43" fontId="14" fillId="0" borderId="0" xfId="1" applyNumberFormat="1" applyFont="1"/>
    <xf numFmtId="0" fontId="14" fillId="3" borderId="18" xfId="3" applyFont="1" applyFill="1" applyBorder="1" applyAlignment="1">
      <alignment horizontal="left" vertical="top" wrapText="1"/>
    </xf>
    <xf numFmtId="0" fontId="14" fillId="2" borderId="18" xfId="4" applyFont="1" applyFill="1" applyBorder="1" applyAlignment="1">
      <alignment horizontal="center" vertical="top"/>
    </xf>
    <xf numFmtId="0" fontId="14" fillId="0" borderId="17" xfId="3" applyFont="1" applyBorder="1" applyAlignment="1">
      <alignment horizontal="left" vertical="top" wrapText="1"/>
    </xf>
    <xf numFmtId="0" fontId="14" fillId="0" borderId="17" xfId="4" applyFont="1" applyBorder="1" applyAlignment="1">
      <alignment horizontal="center" vertical="top"/>
    </xf>
    <xf numFmtId="0" fontId="14" fillId="2" borderId="17" xfId="0" applyFont="1" applyFill="1" applyBorder="1" applyAlignment="1">
      <alignment horizontal="center" vertical="top"/>
    </xf>
    <xf numFmtId="39" fontId="10" fillId="0" borderId="23" xfId="2" applyFont="1" applyBorder="1" applyAlignment="1">
      <alignment horizontal="right" vertical="top"/>
    </xf>
    <xf numFmtId="4" fontId="14" fillId="0" borderId="0" xfId="1" applyNumberFormat="1" applyFont="1" applyAlignment="1">
      <alignment horizontal="center" vertical="top"/>
    </xf>
    <xf numFmtId="0" fontId="14" fillId="2" borderId="11" xfId="0" quotePrefix="1" applyFont="1" applyFill="1" applyBorder="1" applyAlignment="1">
      <alignment horizontal="center" vertical="top"/>
    </xf>
    <xf numFmtId="4" fontId="14" fillId="0" borderId="13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center" vertical="center"/>
    </xf>
    <xf numFmtId="0" fontId="26" fillId="5" borderId="20" xfId="1" applyFont="1" applyFill="1" applyBorder="1" applyAlignment="1">
      <alignment horizontal="center"/>
    </xf>
    <xf numFmtId="0" fontId="13" fillId="5" borderId="4" xfId="1" applyFont="1" applyFill="1" applyBorder="1" applyAlignment="1">
      <alignment horizontal="center" vertical="center"/>
    </xf>
    <xf numFmtId="0" fontId="29" fillId="5" borderId="17" xfId="1" applyFont="1" applyFill="1" applyBorder="1" applyAlignment="1">
      <alignment horizontal="center" vertical="top"/>
    </xf>
    <xf numFmtId="43" fontId="7" fillId="0" borderId="0" xfId="1" quotePrefix="1" applyNumberFormat="1" applyFont="1"/>
    <xf numFmtId="4" fontId="30" fillId="0" borderId="0" xfId="1" applyNumberFormat="1" applyFont="1" applyAlignment="1">
      <alignment horizontal="center" vertical="top"/>
    </xf>
    <xf numFmtId="43" fontId="14" fillId="0" borderId="0" xfId="1" quotePrefix="1" applyNumberFormat="1" applyFont="1"/>
    <xf numFmtId="43" fontId="14" fillId="0" borderId="0" xfId="10" applyFont="1"/>
    <xf numFmtId="0" fontId="14" fillId="0" borderId="12" xfId="0" applyFont="1" applyBorder="1" applyAlignment="1">
      <alignment horizontal="center" vertical="top"/>
    </xf>
    <xf numFmtId="0" fontId="13" fillId="0" borderId="17" xfId="1" applyFont="1" applyBorder="1" applyAlignment="1">
      <alignment horizontal="center" vertical="center" wrapText="1"/>
    </xf>
    <xf numFmtId="0" fontId="13" fillId="0" borderId="17" xfId="1" applyFont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top"/>
    </xf>
    <xf numFmtId="39" fontId="14" fillId="4" borderId="25" xfId="2" applyFont="1" applyFill="1" applyBorder="1"/>
    <xf numFmtId="0" fontId="14" fillId="2" borderId="24" xfId="4" applyFont="1" applyFill="1" applyBorder="1" applyAlignment="1">
      <alignment horizontal="center" vertical="top"/>
    </xf>
    <xf numFmtId="0" fontId="14" fillId="0" borderId="24" xfId="4" applyFont="1" applyBorder="1" applyAlignment="1">
      <alignment horizontal="center" vertical="top"/>
    </xf>
    <xf numFmtId="39" fontId="14" fillId="0" borderId="25" xfId="2" applyFont="1" applyBorder="1" applyAlignment="1">
      <alignment horizontal="center" vertical="top"/>
    </xf>
    <xf numFmtId="39" fontId="13" fillId="4" borderId="25" xfId="2" applyFont="1" applyFill="1" applyBorder="1" applyAlignment="1">
      <alignment horizontal="center" vertical="top"/>
    </xf>
    <xf numFmtId="39" fontId="14" fillId="4" borderId="25" xfId="2" applyFont="1" applyFill="1" applyBorder="1" applyAlignment="1">
      <alignment horizontal="center" vertical="top"/>
    </xf>
    <xf numFmtId="0" fontId="13" fillId="2" borderId="24" xfId="4" applyFont="1" applyFill="1" applyBorder="1" applyAlignment="1">
      <alignment horizontal="center" vertical="top"/>
    </xf>
    <xf numFmtId="39" fontId="13" fillId="0" borderId="25" xfId="2" applyFont="1" applyBorder="1" applyAlignment="1">
      <alignment horizontal="center" vertical="top"/>
    </xf>
    <xf numFmtId="0" fontId="13" fillId="5" borderId="24" xfId="1" applyFont="1" applyFill="1" applyBorder="1" applyAlignment="1">
      <alignment horizontal="center" vertical="center"/>
    </xf>
    <xf numFmtId="39" fontId="13" fillId="5" borderId="25" xfId="1" applyNumberFormat="1" applyFont="1" applyFill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4" fillId="2" borderId="24" xfId="0" quotePrefix="1" applyFont="1" applyFill="1" applyBorder="1" applyAlignment="1">
      <alignment horizontal="center" vertical="top"/>
    </xf>
    <xf numFmtId="4" fontId="13" fillId="0" borderId="25" xfId="1" applyNumberFormat="1" applyFont="1" applyBorder="1" applyAlignment="1">
      <alignment horizontal="center" vertical="top"/>
    </xf>
    <xf numFmtId="4" fontId="14" fillId="0" borderId="25" xfId="1" applyNumberFormat="1" applyFont="1" applyBorder="1" applyAlignment="1">
      <alignment horizontal="center" vertical="top"/>
    </xf>
    <xf numFmtId="39" fontId="14" fillId="0" borderId="25" xfId="2" applyFont="1" applyBorder="1"/>
    <xf numFmtId="0" fontId="14" fillId="2" borderId="26" xfId="4" applyFont="1" applyFill="1" applyBorder="1" applyAlignment="1">
      <alignment horizontal="center" vertical="top"/>
    </xf>
    <xf numFmtId="39" fontId="13" fillId="4" borderId="27" xfId="2" applyFont="1" applyFill="1" applyBorder="1" applyAlignment="1">
      <alignment horizontal="center" vertical="top"/>
    </xf>
    <xf numFmtId="39" fontId="10" fillId="0" borderId="0" xfId="2" applyFont="1" applyAlignment="1">
      <alignment horizontal="center" vertical="center"/>
    </xf>
    <xf numFmtId="0" fontId="14" fillId="0" borderId="1" xfId="1" applyFont="1" applyBorder="1"/>
    <xf numFmtId="0" fontId="13" fillId="3" borderId="0" xfId="3" applyFont="1" applyFill="1" applyAlignment="1">
      <alignment horizontal="center" vertical="top" wrapText="1"/>
    </xf>
    <xf numFmtId="0" fontId="7" fillId="0" borderId="1" xfId="1" applyFont="1" applyBorder="1"/>
    <xf numFmtId="0" fontId="10" fillId="0" borderId="1" xfId="1" applyFont="1" applyBorder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top"/>
    </xf>
    <xf numFmtId="0" fontId="14" fillId="2" borderId="12" xfId="0" applyFont="1" applyFill="1" applyBorder="1" applyAlignment="1">
      <alignment horizontal="center" vertical="top"/>
    </xf>
    <xf numFmtId="0" fontId="14" fillId="2" borderId="2" xfId="0" quotePrefix="1" applyFont="1" applyFill="1" applyBorder="1" applyAlignment="1">
      <alignment horizontal="center" vertical="top"/>
    </xf>
    <xf numFmtId="43" fontId="14" fillId="0" borderId="0" xfId="10" applyFont="1" applyFill="1" applyBorder="1" applyAlignment="1">
      <alignment horizontal="center" vertical="top"/>
    </xf>
    <xf numFmtId="0" fontId="14" fillId="0" borderId="0" xfId="1" applyFont="1" applyAlignment="1">
      <alignment horizontal="left"/>
    </xf>
    <xf numFmtId="0" fontId="10" fillId="0" borderId="0" xfId="3" applyFont="1" applyAlignment="1">
      <alignment horizontal="left" vertical="center" wrapText="1"/>
    </xf>
    <xf numFmtId="39" fontId="14" fillId="0" borderId="0" xfId="1" applyNumberFormat="1" applyFont="1"/>
    <xf numFmtId="0" fontId="9" fillId="9" borderId="0" xfId="3" applyFont="1" applyFill="1" applyAlignment="1">
      <alignment horizontal="center" vertical="center" wrapText="1"/>
    </xf>
    <xf numFmtId="44" fontId="7" fillId="0" borderId="0" xfId="13" applyFont="1"/>
    <xf numFmtId="44" fontId="7" fillId="0" borderId="0" xfId="1" applyNumberFormat="1" applyFont="1"/>
    <xf numFmtId="39" fontId="7" fillId="0" borderId="9" xfId="1" applyNumberFormat="1" applyFont="1" applyFill="1" applyBorder="1"/>
    <xf numFmtId="39" fontId="11" fillId="0" borderId="0" xfId="1" applyNumberFormat="1" applyFont="1" applyFill="1"/>
    <xf numFmtId="39" fontId="11" fillId="0" borderId="20" xfId="1" applyNumberFormat="1" applyFont="1" applyFill="1" applyBorder="1"/>
    <xf numFmtId="39" fontId="13" fillId="0" borderId="15" xfId="1" applyNumberFormat="1" applyFont="1" applyFill="1" applyBorder="1" applyAlignment="1">
      <alignment horizontal="center" vertical="center" wrapText="1"/>
    </xf>
    <xf numFmtId="39" fontId="13" fillId="0" borderId="5" xfId="1" applyNumberFormat="1" applyFont="1" applyFill="1" applyBorder="1" applyAlignment="1">
      <alignment horizontal="center" vertical="center"/>
    </xf>
    <xf numFmtId="39" fontId="14" fillId="0" borderId="17" xfId="2" applyFont="1" applyFill="1" applyBorder="1"/>
    <xf numFmtId="39" fontId="14" fillId="0" borderId="17" xfId="2" applyFont="1" applyFill="1" applyBorder="1" applyAlignment="1">
      <alignment horizontal="center" vertical="top"/>
    </xf>
    <xf numFmtId="39" fontId="13" fillId="0" borderId="17" xfId="2" applyFont="1" applyFill="1" applyBorder="1" applyAlignment="1">
      <alignment horizontal="center" vertical="top"/>
    </xf>
    <xf numFmtId="39" fontId="13" fillId="0" borderId="17" xfId="1" applyNumberFormat="1" applyFont="1" applyFill="1" applyBorder="1" applyAlignment="1">
      <alignment horizontal="center" vertical="center"/>
    </xf>
    <xf numFmtId="39" fontId="14" fillId="0" borderId="17" xfId="2" applyFont="1" applyFill="1" applyBorder="1" applyAlignment="1">
      <alignment horizontal="right" vertical="top"/>
    </xf>
    <xf numFmtId="4" fontId="13" fillId="0" borderId="17" xfId="1" applyNumberFormat="1" applyFont="1" applyFill="1" applyBorder="1" applyAlignment="1">
      <alignment horizontal="center" vertical="top"/>
    </xf>
    <xf numFmtId="4" fontId="14" fillId="0" borderId="17" xfId="1" applyNumberFormat="1" applyFont="1" applyFill="1" applyBorder="1" applyAlignment="1">
      <alignment horizontal="center" vertical="top"/>
    </xf>
    <xf numFmtId="4" fontId="13" fillId="0" borderId="17" xfId="1" applyNumberFormat="1" applyFont="1" applyFill="1" applyBorder="1" applyAlignment="1">
      <alignment horizontal="right" vertical="top"/>
    </xf>
    <xf numFmtId="39" fontId="13" fillId="0" borderId="18" xfId="2" applyFont="1" applyFill="1" applyBorder="1" applyAlignment="1">
      <alignment horizontal="center" vertical="top"/>
    </xf>
    <xf numFmtId="39" fontId="13" fillId="0" borderId="9" xfId="1" applyNumberFormat="1" applyFont="1" applyFill="1" applyBorder="1" applyAlignment="1">
      <alignment horizontal="center" vertical="center"/>
    </xf>
    <xf numFmtId="4" fontId="14" fillId="0" borderId="0" xfId="0" applyNumberFormat="1" applyFont="1" applyFill="1" applyAlignment="1">
      <alignment horizontal="center" vertical="top"/>
    </xf>
    <xf numFmtId="4" fontId="10" fillId="0" borderId="0" xfId="0" applyNumberFormat="1" applyFont="1" applyFill="1" applyAlignment="1">
      <alignment horizontal="right" vertical="top"/>
    </xf>
    <xf numFmtId="4" fontId="13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Alignment="1">
      <alignment horizontal="right" vertical="top"/>
    </xf>
    <xf numFmtId="39" fontId="7" fillId="0" borderId="0" xfId="1" applyNumberFormat="1" applyFont="1" applyFill="1" applyAlignment="1">
      <alignment horizontal="right"/>
    </xf>
    <xf numFmtId="39" fontId="7" fillId="0" borderId="0" xfId="1" applyNumberFormat="1" applyFont="1" applyFill="1"/>
    <xf numFmtId="4" fontId="7" fillId="0" borderId="0" xfId="0" applyNumberFormat="1" applyFont="1" applyFill="1" applyAlignment="1">
      <alignment horizontal="center" vertical="top"/>
    </xf>
    <xf numFmtId="4" fontId="14" fillId="0" borderId="12" xfId="1" applyNumberFormat="1" applyFont="1" applyFill="1" applyBorder="1" applyAlignment="1">
      <alignment horizontal="right" vertical="top"/>
    </xf>
    <xf numFmtId="0" fontId="14" fillId="0" borderId="0" xfId="1" applyFont="1" applyFill="1"/>
    <xf numFmtId="4" fontId="14" fillId="0" borderId="0" xfId="1" applyNumberFormat="1" applyFont="1" applyFill="1" applyAlignment="1">
      <alignment horizontal="right" vertical="top"/>
    </xf>
    <xf numFmtId="0" fontId="6" fillId="0" borderId="0" xfId="1" applyFill="1"/>
    <xf numFmtId="39" fontId="12" fillId="0" borderId="0" xfId="1" applyNumberFormat="1" applyFont="1" applyFill="1"/>
    <xf numFmtId="39" fontId="13" fillId="0" borderId="20" xfId="1" applyNumberFormat="1" applyFont="1" applyFill="1" applyBorder="1" applyAlignment="1">
      <alignment horizontal="left"/>
    </xf>
    <xf numFmtId="39" fontId="13" fillId="0" borderId="15" xfId="1" applyNumberFormat="1" applyFont="1" applyFill="1" applyBorder="1" applyAlignment="1">
      <alignment horizontal="center" vertical="center"/>
    </xf>
    <xf numFmtId="39" fontId="13" fillId="0" borderId="4" xfId="1" applyNumberFormat="1" applyFont="1" applyFill="1" applyBorder="1" applyAlignment="1">
      <alignment horizontal="center" vertical="center"/>
    </xf>
    <xf numFmtId="4" fontId="14" fillId="0" borderId="18" xfId="1" applyNumberFormat="1" applyFont="1" applyFill="1" applyBorder="1" applyAlignment="1">
      <alignment horizontal="center" vertical="top"/>
    </xf>
    <xf numFmtId="4" fontId="14" fillId="0" borderId="12" xfId="1" applyNumberFormat="1" applyFont="1" applyFill="1" applyBorder="1" applyAlignment="1">
      <alignment horizontal="center" vertical="top"/>
    </xf>
    <xf numFmtId="4" fontId="14" fillId="0" borderId="0" xfId="1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9" fillId="9" borderId="0" xfId="3" applyFont="1" applyFill="1" applyAlignment="1">
      <alignment horizontal="center" vertical="center" wrapText="1"/>
    </xf>
    <xf numFmtId="0" fontId="15" fillId="0" borderId="6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7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7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7" xfId="1" applyFont="1" applyBorder="1" applyAlignment="1">
      <alignment horizontal="center"/>
    </xf>
    <xf numFmtId="39" fontId="16" fillId="5" borderId="0" xfId="1" applyNumberFormat="1" applyFont="1" applyFill="1" applyAlignment="1">
      <alignment horizontal="left" vertical="top" wrapText="1"/>
    </xf>
    <xf numFmtId="39" fontId="16" fillId="5" borderId="7" xfId="1" applyNumberFormat="1" applyFont="1" applyFill="1" applyBorder="1" applyAlignment="1">
      <alignment horizontal="left" vertical="top" wrapText="1"/>
    </xf>
    <xf numFmtId="39" fontId="17" fillId="5" borderId="0" xfId="1" applyNumberFormat="1" applyFont="1" applyFill="1" applyAlignment="1">
      <alignment horizontal="right"/>
    </xf>
    <xf numFmtId="39" fontId="17" fillId="5" borderId="7" xfId="1" applyNumberFormat="1" applyFont="1" applyFill="1" applyBorder="1" applyAlignment="1">
      <alignment horizontal="right"/>
    </xf>
  </cellXfs>
  <cellStyles count="16">
    <cellStyle name="Millares" xfId="10" builtinId="3"/>
    <cellStyle name="Moneda" xfId="13" builtinId="4"/>
    <cellStyle name="Normal" xfId="0" builtinId="0"/>
    <cellStyle name="Normal 14" xfId="5"/>
    <cellStyle name="Normal 15" xfId="6"/>
    <cellStyle name="Normal 16" xfId="7"/>
    <cellStyle name="Normal 2" xfId="11"/>
    <cellStyle name="Normal 2 2" xfId="12"/>
    <cellStyle name="Normal 2 2 2" xfId="15"/>
    <cellStyle name="Normal 2 254" xfId="14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</cellStyles>
  <dxfs count="0"/>
  <tableStyles count="0" defaultTableStyle="TableStyleMedium9" defaultPivotStyle="PivotStyleLight16"/>
  <colors>
    <mruColors>
      <color rgb="FFB7474F"/>
      <color rgb="FFA62C2C"/>
      <color rgb="FFBF5960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B4637ED-0D55-4E64-B34E-4B7D54FBF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739390"/>
        </a:xfrm>
        <a:prstGeom prst="rect">
          <a:avLst/>
        </a:prstGeom>
      </xdr:spPr>
    </xdr:pic>
    <xdr:clientData/>
  </xdr:twoCellAnchor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B54F210-3DD6-43DD-9CE9-DA6C6519B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7393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1"/>
  <sheetViews>
    <sheetView zoomScaleNormal="100" workbookViewId="0">
      <selection activeCell="M27" sqref="M27"/>
    </sheetView>
  </sheetViews>
  <sheetFormatPr baseColWidth="10" defaultColWidth="12" defaultRowHeight="10.5" x14ac:dyDescent="0.15"/>
  <sheetData>
    <row r="2" spans="1:7" x14ac:dyDescent="0.15">
      <c r="A2" s="183" t="s">
        <v>46</v>
      </c>
      <c r="B2" s="183"/>
      <c r="C2" s="183"/>
      <c r="D2" s="183"/>
      <c r="E2" s="183"/>
      <c r="F2" s="183"/>
      <c r="G2" s="183"/>
    </row>
    <row r="4" spans="1:7" x14ac:dyDescent="0.15">
      <c r="A4" s="184" t="s">
        <v>24</v>
      </c>
      <c r="B4" s="184"/>
      <c r="C4" s="184"/>
    </row>
    <row r="6" spans="1:7" x14ac:dyDescent="0.15">
      <c r="A6" s="7" t="s">
        <v>21</v>
      </c>
      <c r="B6" s="8">
        <v>4473.84</v>
      </c>
      <c r="C6" s="9">
        <f>0.4*0.55*1</f>
        <v>0.22000000000000003</v>
      </c>
      <c r="D6" s="10">
        <f>B6*C6</f>
        <v>984.24480000000017</v>
      </c>
    </row>
    <row r="9" spans="1:7" x14ac:dyDescent="0.15">
      <c r="A9" s="184" t="s">
        <v>23</v>
      </c>
      <c r="B9" s="184"/>
      <c r="C9" s="184"/>
    </row>
    <row r="11" spans="1:7" x14ac:dyDescent="0.15">
      <c r="A11" s="7" t="s">
        <v>22</v>
      </c>
      <c r="B11" s="8">
        <v>425.94</v>
      </c>
      <c r="C11" s="9">
        <f>(0.55*1*2)*(1.1)</f>
        <v>1.2100000000000002</v>
      </c>
      <c r="D11" s="10">
        <f>B11*C11</f>
        <v>515.38740000000007</v>
      </c>
    </row>
    <row r="14" spans="1:7" x14ac:dyDescent="0.15">
      <c r="B14" s="183" t="s">
        <v>0</v>
      </c>
      <c r="C14" s="183"/>
      <c r="D14" s="10">
        <f>SUM(D6:D13)</f>
        <v>1499.6322000000002</v>
      </c>
    </row>
    <row r="16" spans="1:7" x14ac:dyDescent="0.15">
      <c r="B16" s="183" t="s">
        <v>10</v>
      </c>
      <c r="C16" s="183"/>
      <c r="D16" s="10">
        <f>D14*1.3</f>
        <v>1949.5218600000003</v>
      </c>
    </row>
    <row r="21" spans="1:7" x14ac:dyDescent="0.15">
      <c r="A21" s="183" t="s">
        <v>47</v>
      </c>
      <c r="B21" s="183"/>
      <c r="C21" s="183"/>
      <c r="D21" s="183"/>
      <c r="E21" s="183"/>
      <c r="F21" s="183"/>
      <c r="G21" s="183"/>
    </row>
    <row r="23" spans="1:7" x14ac:dyDescent="0.15">
      <c r="A23" s="184" t="s">
        <v>26</v>
      </c>
      <c r="B23" s="184"/>
      <c r="C23" s="184"/>
    </row>
    <row r="25" spans="1:7" x14ac:dyDescent="0.15">
      <c r="A25" s="7" t="s">
        <v>18</v>
      </c>
      <c r="B25" s="8">
        <v>25.98</v>
      </c>
      <c r="C25" s="9">
        <f>1.5*1.5</f>
        <v>2.25</v>
      </c>
      <c r="D25" s="10">
        <f>B25*C25</f>
        <v>58.454999999999998</v>
      </c>
    </row>
    <row r="28" spans="1:7" x14ac:dyDescent="0.15">
      <c r="A28" s="184" t="s">
        <v>28</v>
      </c>
      <c r="B28" s="184"/>
      <c r="C28" s="184"/>
    </row>
    <row r="30" spans="1:7" x14ac:dyDescent="0.15">
      <c r="A30" s="7" t="s">
        <v>27</v>
      </c>
      <c r="B30" s="8">
        <v>517.4</v>
      </c>
      <c r="C30" s="9">
        <f>1.5*1.5*1</f>
        <v>2.25</v>
      </c>
      <c r="D30" s="10">
        <f>B30*C30</f>
        <v>1164.1499999999999</v>
      </c>
    </row>
    <row r="31" spans="1:7" x14ac:dyDescent="0.15">
      <c r="A31" s="7"/>
      <c r="B31" s="8"/>
      <c r="C31" s="9"/>
      <c r="D31" s="10"/>
    </row>
    <row r="32" spans="1:7" x14ac:dyDescent="0.15">
      <c r="A32" s="7"/>
      <c r="B32" s="8"/>
      <c r="C32" s="9"/>
      <c r="D32" s="10"/>
    </row>
    <row r="33" spans="1:7" x14ac:dyDescent="0.15">
      <c r="A33" s="184" t="s">
        <v>29</v>
      </c>
      <c r="B33" s="184"/>
      <c r="C33" s="184"/>
    </row>
    <row r="35" spans="1:7" x14ac:dyDescent="0.15">
      <c r="A35" s="7" t="s">
        <v>30</v>
      </c>
      <c r="B35" s="8">
        <v>351.47</v>
      </c>
      <c r="C35" s="9">
        <f>1.5*1*4</f>
        <v>6</v>
      </c>
      <c r="D35" s="10">
        <f>B35*C35</f>
        <v>2108.8200000000002</v>
      </c>
    </row>
    <row r="37" spans="1:7" x14ac:dyDescent="0.15">
      <c r="B37" s="183" t="s">
        <v>0</v>
      </c>
      <c r="C37" s="183"/>
      <c r="D37" s="10">
        <f>SUM(D25:D36)</f>
        <v>3331.4250000000002</v>
      </c>
    </row>
    <row r="39" spans="1:7" x14ac:dyDescent="0.15">
      <c r="B39" s="183" t="s">
        <v>10</v>
      </c>
      <c r="C39" s="183"/>
      <c r="D39" s="10">
        <f>D37*1.2</f>
        <v>3997.71</v>
      </c>
    </row>
    <row r="44" spans="1:7" x14ac:dyDescent="0.15">
      <c r="A44" s="183" t="s">
        <v>48</v>
      </c>
      <c r="B44" s="183"/>
      <c r="C44" s="183"/>
      <c r="D44" s="183"/>
      <c r="E44" s="183"/>
      <c r="F44" s="183"/>
      <c r="G44" s="183"/>
    </row>
    <row r="46" spans="1:7" x14ac:dyDescent="0.15">
      <c r="A46" s="185" t="s">
        <v>31</v>
      </c>
      <c r="B46" s="185"/>
      <c r="C46" s="185"/>
    </row>
    <row r="48" spans="1:7" x14ac:dyDescent="0.15">
      <c r="A48" s="7" t="s">
        <v>32</v>
      </c>
      <c r="B48" s="8">
        <v>53.35</v>
      </c>
      <c r="C48" s="9">
        <f>(4*1.5*1.1)*(0.994)</f>
        <v>6.5604000000000005</v>
      </c>
      <c r="D48" s="10">
        <f>B48*C48</f>
        <v>349.99734000000001</v>
      </c>
    </row>
    <row r="50" spans="1:4" x14ac:dyDescent="0.15">
      <c r="A50" s="184" t="s">
        <v>33</v>
      </c>
      <c r="B50" s="184"/>
      <c r="C50" s="184"/>
    </row>
    <row r="52" spans="1:4" x14ac:dyDescent="0.15">
      <c r="A52" s="7" t="s">
        <v>34</v>
      </c>
      <c r="B52" s="8">
        <v>64.2</v>
      </c>
      <c r="C52" s="9">
        <f>(0.35*0.35*1.1)*(8)</f>
        <v>1.0779999999999998</v>
      </c>
      <c r="D52" s="10">
        <f>B52*C52</f>
        <v>69.207599999999999</v>
      </c>
    </row>
    <row r="53" spans="1:4" x14ac:dyDescent="0.15">
      <c r="A53" s="7"/>
      <c r="B53" s="8"/>
      <c r="C53" s="9"/>
      <c r="D53" s="10"/>
    </row>
    <row r="54" spans="1:4" x14ac:dyDescent="0.15">
      <c r="A54" s="184" t="s">
        <v>35</v>
      </c>
      <c r="B54" s="184"/>
      <c r="C54" s="184"/>
    </row>
    <row r="56" spans="1:4" x14ac:dyDescent="0.15">
      <c r="A56" s="7" t="s">
        <v>36</v>
      </c>
      <c r="B56" s="8">
        <v>4630.5200000000004</v>
      </c>
      <c r="C56" s="9">
        <f>0.35*0.35*1.5</f>
        <v>0.18374999999999997</v>
      </c>
      <c r="D56" s="10">
        <f>B56*C56</f>
        <v>850.85804999999993</v>
      </c>
    </row>
    <row r="58" spans="1:4" x14ac:dyDescent="0.15">
      <c r="A58" s="184" t="s">
        <v>23</v>
      </c>
      <c r="B58" s="184"/>
      <c r="C58" s="184"/>
    </row>
    <row r="60" spans="1:4" x14ac:dyDescent="0.15">
      <c r="A60" s="7" t="s">
        <v>37</v>
      </c>
      <c r="B60" s="8">
        <v>449.41</v>
      </c>
      <c r="C60" s="9">
        <f>(0.35*1.5)*(4)*(1.1)</f>
        <v>2.3099999999999996</v>
      </c>
      <c r="D60" s="10">
        <f>B60*C60</f>
        <v>1038.1370999999999</v>
      </c>
    </row>
    <row r="62" spans="1:4" x14ac:dyDescent="0.15">
      <c r="A62" s="186" t="s">
        <v>38</v>
      </c>
      <c r="B62" s="186"/>
    </row>
    <row r="64" spans="1:4" x14ac:dyDescent="0.15">
      <c r="A64" s="184" t="s">
        <v>35</v>
      </c>
      <c r="B64" s="184"/>
      <c r="C64" s="184"/>
    </row>
    <row r="66" spans="1:4" x14ac:dyDescent="0.15">
      <c r="A66" s="7" t="s">
        <v>36</v>
      </c>
      <c r="B66" s="8">
        <v>4630.5200000000004</v>
      </c>
      <c r="C66" s="9">
        <f>0.5*0.5*0.2</f>
        <v>0.05</v>
      </c>
      <c r="D66" s="10">
        <f>B66*C66</f>
        <v>231.52600000000004</v>
      </c>
    </row>
    <row r="68" spans="1:4" x14ac:dyDescent="0.15">
      <c r="A68" s="184" t="s">
        <v>23</v>
      </c>
      <c r="B68" s="184"/>
      <c r="C68" s="184"/>
    </row>
    <row r="70" spans="1:4" x14ac:dyDescent="0.15">
      <c r="A70" s="7" t="s">
        <v>39</v>
      </c>
      <c r="B70" s="8">
        <v>348.4</v>
      </c>
      <c r="C70" s="9">
        <f>(0.5*0.2)*(4)*(1.1)</f>
        <v>0.44000000000000006</v>
      </c>
      <c r="D70" s="10">
        <f>B70*C70</f>
        <v>153.29600000000002</v>
      </c>
    </row>
    <row r="72" spans="1:4" x14ac:dyDescent="0.15">
      <c r="A72" s="184" t="s">
        <v>31</v>
      </c>
      <c r="B72" s="184"/>
      <c r="C72" s="184"/>
    </row>
    <row r="74" spans="1:4" x14ac:dyDescent="0.15">
      <c r="A74" s="7" t="s">
        <v>32</v>
      </c>
      <c r="B74" s="8">
        <v>53.35</v>
      </c>
      <c r="C74" s="9">
        <f>(0.5*6*1.1)*(0.994)</f>
        <v>3.2802000000000002</v>
      </c>
      <c r="D74" s="10">
        <f>B74*C74</f>
        <v>174.99867</v>
      </c>
    </row>
    <row r="76" spans="1:4" x14ac:dyDescent="0.15">
      <c r="B76" s="183" t="s">
        <v>0</v>
      </c>
      <c r="C76" s="183"/>
      <c r="D76" s="10">
        <f>D48+D52+D56+D60+D66+D70+D74</f>
        <v>2868.0207599999994</v>
      </c>
    </row>
    <row r="78" spans="1:4" x14ac:dyDescent="0.15">
      <c r="B78" s="183" t="s">
        <v>10</v>
      </c>
      <c r="C78" s="183"/>
      <c r="D78" s="10">
        <f>D76*1.2</f>
        <v>3441.6249119999993</v>
      </c>
    </row>
    <row r="83" spans="1:7" x14ac:dyDescent="0.15">
      <c r="A83" s="183" t="s">
        <v>49</v>
      </c>
      <c r="B83" s="183"/>
      <c r="C83" s="183"/>
      <c r="D83" s="183"/>
      <c r="E83" s="183"/>
      <c r="F83" s="183"/>
      <c r="G83" s="183"/>
    </row>
    <row r="85" spans="1:7" x14ac:dyDescent="0.15">
      <c r="A85" s="185" t="s">
        <v>40</v>
      </c>
      <c r="B85" s="185"/>
      <c r="C85" s="185"/>
    </row>
    <row r="87" spans="1:7" x14ac:dyDescent="0.15">
      <c r="A87" s="7"/>
      <c r="B87" s="8">
        <f>149/6</f>
        <v>24.833333333333332</v>
      </c>
      <c r="C87" s="9">
        <v>1</v>
      </c>
      <c r="D87" s="10">
        <f>B87*C87</f>
        <v>24.833333333333332</v>
      </c>
    </row>
    <row r="89" spans="1:7" x14ac:dyDescent="0.15">
      <c r="A89" s="184" t="s">
        <v>35</v>
      </c>
      <c r="B89" s="184"/>
      <c r="C89" s="184"/>
    </row>
    <row r="91" spans="1:7" x14ac:dyDescent="0.15">
      <c r="A91" s="7" t="s">
        <v>36</v>
      </c>
      <c r="B91" s="8">
        <v>4630.5200000000004</v>
      </c>
      <c r="C91" s="9">
        <f>0.15*0.15*1</f>
        <v>2.2499999999999999E-2</v>
      </c>
      <c r="D91" s="10">
        <f>B91*C91</f>
        <v>104.1867</v>
      </c>
    </row>
    <row r="93" spans="1:7" x14ac:dyDescent="0.15">
      <c r="A93" s="184" t="s">
        <v>23</v>
      </c>
      <c r="B93" s="184"/>
      <c r="C93" s="184"/>
    </row>
    <row r="95" spans="1:7" x14ac:dyDescent="0.15">
      <c r="A95" s="7" t="s">
        <v>22</v>
      </c>
      <c r="B95" s="8">
        <v>425.94</v>
      </c>
      <c r="C95" s="9">
        <f>(0.15*1)*(4)*(1.1)</f>
        <v>0.66</v>
      </c>
      <c r="D95" s="10">
        <f>B95*C95</f>
        <v>281.12040000000002</v>
      </c>
    </row>
    <row r="97" spans="1:7" x14ac:dyDescent="0.15">
      <c r="B97" s="183" t="s">
        <v>0</v>
      </c>
      <c r="C97" s="183"/>
      <c r="D97" s="10">
        <f>SUM(D87:D96)</f>
        <v>410.14043333333336</v>
      </c>
    </row>
    <row r="99" spans="1:7" x14ac:dyDescent="0.15">
      <c r="B99" s="183" t="s">
        <v>10</v>
      </c>
      <c r="C99" s="183"/>
      <c r="D99" s="10">
        <f>D97*1.2</f>
        <v>492.16852</v>
      </c>
    </row>
    <row r="104" spans="1:7" x14ac:dyDescent="0.15">
      <c r="A104" s="183" t="s">
        <v>50</v>
      </c>
      <c r="B104" s="183"/>
      <c r="C104" s="183"/>
      <c r="D104" s="183"/>
      <c r="E104" s="183"/>
      <c r="F104" s="183"/>
      <c r="G104" s="183"/>
    </row>
    <row r="106" spans="1:7" x14ac:dyDescent="0.15">
      <c r="A106" s="184" t="s">
        <v>35</v>
      </c>
      <c r="B106" s="184"/>
      <c r="C106" s="184"/>
    </row>
    <row r="108" spans="1:7" x14ac:dyDescent="0.15">
      <c r="A108" s="7" t="s">
        <v>36</v>
      </c>
      <c r="B108" s="8">
        <v>4630.5200000000004</v>
      </c>
      <c r="C108" s="9">
        <f>1*1*0.1</f>
        <v>0.1</v>
      </c>
      <c r="D108" s="10">
        <f>B108*C108</f>
        <v>463.05200000000008</v>
      </c>
    </row>
    <row r="110" spans="1:7" x14ac:dyDescent="0.15">
      <c r="A110" s="184" t="s">
        <v>23</v>
      </c>
      <c r="B110" s="184"/>
      <c r="C110" s="184"/>
    </row>
    <row r="112" spans="1:7" x14ac:dyDescent="0.15">
      <c r="A112" s="7" t="s">
        <v>41</v>
      </c>
      <c r="B112" s="8">
        <v>515.99</v>
      </c>
      <c r="C112" s="9">
        <f>(1*1)*1.1</f>
        <v>1.1000000000000001</v>
      </c>
      <c r="D112" s="10">
        <f>B112*C112</f>
        <v>567.58900000000006</v>
      </c>
    </row>
    <row r="114" spans="1:7" x14ac:dyDescent="0.15">
      <c r="A114" s="184" t="s">
        <v>42</v>
      </c>
      <c r="B114" s="184"/>
      <c r="C114" s="184"/>
    </row>
    <row r="116" spans="1:7" x14ac:dyDescent="0.15">
      <c r="A116" s="7" t="s">
        <v>32</v>
      </c>
      <c r="B116" s="8">
        <v>53.35</v>
      </c>
      <c r="C116" s="9">
        <f>(1*10*1.1)*(0.56)</f>
        <v>6.16</v>
      </c>
      <c r="D116" s="10">
        <f>B116*C116</f>
        <v>328.63600000000002</v>
      </c>
    </row>
    <row r="118" spans="1:7" x14ac:dyDescent="0.15">
      <c r="B118" s="183" t="s">
        <v>0</v>
      </c>
      <c r="C118" s="183"/>
      <c r="D118" s="10">
        <f>D108+D112+D116</f>
        <v>1359.277</v>
      </c>
    </row>
    <row r="120" spans="1:7" x14ac:dyDescent="0.15">
      <c r="B120" s="183" t="s">
        <v>10</v>
      </c>
      <c r="C120" s="183"/>
      <c r="D120" s="10">
        <f>D118*1.2</f>
        <v>1631.1324</v>
      </c>
    </row>
    <row r="125" spans="1:7" x14ac:dyDescent="0.15">
      <c r="A125" s="183" t="s">
        <v>51</v>
      </c>
      <c r="B125" s="183"/>
      <c r="C125" s="183"/>
      <c r="D125" s="183"/>
      <c r="E125" s="183"/>
      <c r="F125" s="183"/>
      <c r="G125" s="183"/>
    </row>
    <row r="127" spans="1:7" x14ac:dyDescent="0.15">
      <c r="A127" s="184" t="s">
        <v>43</v>
      </c>
      <c r="B127" s="184"/>
      <c r="C127" s="184"/>
    </row>
    <row r="129" spans="1:4" x14ac:dyDescent="0.15">
      <c r="A129" s="7"/>
      <c r="B129" s="8">
        <v>13.92</v>
      </c>
      <c r="C129" s="11">
        <v>13</v>
      </c>
      <c r="D129" s="10">
        <f>B129*C129</f>
        <v>180.96</v>
      </c>
    </row>
    <row r="131" spans="1:4" x14ac:dyDescent="0.15">
      <c r="A131" s="184" t="s">
        <v>44</v>
      </c>
      <c r="B131" s="184"/>
      <c r="C131" s="184"/>
    </row>
    <row r="133" spans="1:4" x14ac:dyDescent="0.15">
      <c r="A133" s="7" t="s">
        <v>25</v>
      </c>
      <c r="B133" s="8">
        <v>2675.1</v>
      </c>
      <c r="C133" s="9">
        <v>1.7999999999999999E-2</v>
      </c>
      <c r="D133" s="10">
        <f>B133*C133</f>
        <v>48.151799999999994</v>
      </c>
    </row>
    <row r="135" spans="1:4" x14ac:dyDescent="0.15">
      <c r="A135" s="184" t="s">
        <v>45</v>
      </c>
      <c r="B135" s="184"/>
      <c r="C135" s="184"/>
    </row>
    <row r="137" spans="1:4" x14ac:dyDescent="0.15">
      <c r="A137" s="7" t="s">
        <v>21</v>
      </c>
      <c r="B137" s="8">
        <v>4473.84</v>
      </c>
      <c r="C137" s="9">
        <v>5.9150000000000001E-2</v>
      </c>
      <c r="D137" s="10">
        <f>B137*C137</f>
        <v>264.627636</v>
      </c>
    </row>
    <row r="139" spans="1:4" x14ac:dyDescent="0.15">
      <c r="B139" s="183" t="s">
        <v>0</v>
      </c>
      <c r="C139" s="183"/>
      <c r="D139" s="10">
        <f>SUM(D129:D138)</f>
        <v>493.73943600000001</v>
      </c>
    </row>
    <row r="141" spans="1:4" x14ac:dyDescent="0.15">
      <c r="B141" s="183" t="s">
        <v>10</v>
      </c>
      <c r="C141" s="183"/>
      <c r="D141" s="10">
        <f>D139*1.2</f>
        <v>592.48732319999999</v>
      </c>
    </row>
  </sheetData>
  <mergeCells count="40">
    <mergeCell ref="B141:C141"/>
    <mergeCell ref="A110:C110"/>
    <mergeCell ref="A114:C114"/>
    <mergeCell ref="B118:C118"/>
    <mergeCell ref="B120:C120"/>
    <mergeCell ref="A125:G125"/>
    <mergeCell ref="A127:C127"/>
    <mergeCell ref="A131:C131"/>
    <mergeCell ref="A135:C135"/>
    <mergeCell ref="B139:C139"/>
    <mergeCell ref="B97:C97"/>
    <mergeCell ref="B99:C99"/>
    <mergeCell ref="A104:G104"/>
    <mergeCell ref="A106:C106"/>
    <mergeCell ref="A83:G83"/>
    <mergeCell ref="A85:C85"/>
    <mergeCell ref="A89:C89"/>
    <mergeCell ref="A93:C93"/>
    <mergeCell ref="B78:C78"/>
    <mergeCell ref="A46:C46"/>
    <mergeCell ref="A50:C50"/>
    <mergeCell ref="A54:C54"/>
    <mergeCell ref="A58:C58"/>
    <mergeCell ref="A62:B62"/>
    <mergeCell ref="A64:C64"/>
    <mergeCell ref="A68:C68"/>
    <mergeCell ref="A72:C72"/>
    <mergeCell ref="B76:C76"/>
    <mergeCell ref="A44:G44"/>
    <mergeCell ref="A2:G2"/>
    <mergeCell ref="A4:C4"/>
    <mergeCell ref="A9:C9"/>
    <mergeCell ref="B14:C14"/>
    <mergeCell ref="B16:C16"/>
    <mergeCell ref="A21:G21"/>
    <mergeCell ref="A28:C28"/>
    <mergeCell ref="A33:C33"/>
    <mergeCell ref="B37:C37"/>
    <mergeCell ref="B39:C39"/>
    <mergeCell ref="A23:C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2"/>
  <sheetViews>
    <sheetView zoomScale="110" zoomScaleNormal="110" workbookViewId="0">
      <selection activeCell="M27" sqref="M27"/>
    </sheetView>
  </sheetViews>
  <sheetFormatPr baseColWidth="10" defaultColWidth="12" defaultRowHeight="10.5" x14ac:dyDescent="0.15"/>
  <cols>
    <col min="1" max="1" width="13.33203125" customWidth="1"/>
    <col min="10" max="10" width="14.83203125" customWidth="1"/>
  </cols>
  <sheetData>
    <row r="3" spans="1:10" ht="13.5" x14ac:dyDescent="0.15">
      <c r="A3" s="187" t="s">
        <v>115</v>
      </c>
      <c r="B3" s="187"/>
      <c r="C3" s="187"/>
      <c r="D3" s="187"/>
      <c r="E3" s="187"/>
      <c r="F3" s="187"/>
      <c r="G3" s="187"/>
      <c r="H3" s="23"/>
      <c r="I3" s="24"/>
      <c r="J3" s="24"/>
    </row>
    <row r="4" spans="1:10" ht="13.5" x14ac:dyDescent="0.15">
      <c r="A4" s="187"/>
      <c r="B4" s="187"/>
      <c r="C4" s="187"/>
      <c r="D4" s="187"/>
      <c r="E4" s="187"/>
      <c r="F4" s="187"/>
      <c r="G4" s="187"/>
      <c r="H4" s="187"/>
      <c r="I4" s="187"/>
      <c r="J4" s="187"/>
    </row>
    <row r="5" spans="1:10" ht="13.5" x14ac:dyDescent="0.15">
      <c r="A5" s="25"/>
      <c r="B5" s="26" t="s">
        <v>103</v>
      </c>
      <c r="C5" s="26" t="s">
        <v>104</v>
      </c>
      <c r="D5" s="26" t="s">
        <v>105</v>
      </c>
      <c r="E5" s="26" t="s">
        <v>106</v>
      </c>
      <c r="F5" s="26" t="s">
        <v>107</v>
      </c>
      <c r="G5" s="26"/>
      <c r="H5" s="26" t="s">
        <v>2</v>
      </c>
      <c r="I5" s="26" t="s">
        <v>11</v>
      </c>
      <c r="J5" s="26" t="s">
        <v>10</v>
      </c>
    </row>
    <row r="6" spans="1:10" ht="13.5" x14ac:dyDescent="0.15">
      <c r="A6" s="27" t="s">
        <v>108</v>
      </c>
      <c r="B6" s="25">
        <v>0.25</v>
      </c>
      <c r="C6" s="25">
        <v>0.25</v>
      </c>
      <c r="D6" s="31">
        <v>1</v>
      </c>
      <c r="E6" s="28">
        <f>D6*C6*B6</f>
        <v>6.25E-2</v>
      </c>
      <c r="F6" s="25">
        <v>1</v>
      </c>
      <c r="G6" s="28">
        <f>F6*E6</f>
        <v>6.25E-2</v>
      </c>
      <c r="H6" s="29" t="s">
        <v>109</v>
      </c>
      <c r="I6" s="30">
        <v>247.2</v>
      </c>
      <c r="J6" s="31">
        <f>I6*E6</f>
        <v>15.45</v>
      </c>
    </row>
    <row r="7" spans="1:10" ht="13.5" x14ac:dyDescent="0.15">
      <c r="A7" s="27" t="s">
        <v>110</v>
      </c>
      <c r="B7" s="25">
        <v>0.25</v>
      </c>
      <c r="C7" s="25"/>
      <c r="D7" s="31">
        <v>1</v>
      </c>
      <c r="E7" s="28">
        <f>(B7*D7)*1.15</f>
        <v>0.28749999999999998</v>
      </c>
      <c r="F7" s="25">
        <v>4</v>
      </c>
      <c r="G7" s="28">
        <f>F7*E7</f>
        <v>1.1499999999999999</v>
      </c>
      <c r="H7" s="29" t="s">
        <v>39</v>
      </c>
      <c r="I7" s="32">
        <v>389.1</v>
      </c>
      <c r="J7" s="31">
        <f>I7*E7</f>
        <v>111.86624999999999</v>
      </c>
    </row>
    <row r="8" spans="1:10" ht="13.5" x14ac:dyDescent="0.15">
      <c r="A8" s="27" t="s">
        <v>111</v>
      </c>
      <c r="B8" s="25">
        <v>0.25</v>
      </c>
      <c r="C8" s="25">
        <v>0.25</v>
      </c>
      <c r="D8" s="31">
        <v>1</v>
      </c>
      <c r="E8" s="28">
        <f>(D8*C8*B8)*1.15</f>
        <v>7.1874999999999994E-2</v>
      </c>
      <c r="F8" s="25">
        <v>1</v>
      </c>
      <c r="G8" s="28">
        <f>F8*E8</f>
        <v>7.1874999999999994E-2</v>
      </c>
      <c r="H8" s="29" t="s">
        <v>36</v>
      </c>
      <c r="I8" s="32">
        <v>5006.33</v>
      </c>
      <c r="J8" s="31">
        <f>I8*E8</f>
        <v>359.82996874999998</v>
      </c>
    </row>
    <row r="9" spans="1:10" ht="13.5" x14ac:dyDescent="0.15">
      <c r="A9" s="25"/>
      <c r="B9" s="24"/>
      <c r="C9" s="24"/>
      <c r="D9" s="24"/>
      <c r="E9" s="24"/>
      <c r="F9" s="25" t="s">
        <v>112</v>
      </c>
      <c r="G9" s="28">
        <f>((15*0.3)*1.15)*0.994</f>
        <v>5.1439499999999994</v>
      </c>
      <c r="H9" s="25" t="s">
        <v>32</v>
      </c>
      <c r="I9" s="32">
        <v>54.35</v>
      </c>
      <c r="J9" s="31">
        <f>I9*G9</f>
        <v>279.57368249999996</v>
      </c>
    </row>
    <row r="10" spans="1:10" ht="13.5" x14ac:dyDescent="0.15">
      <c r="A10" s="24"/>
      <c r="B10" s="24"/>
      <c r="C10" s="24"/>
      <c r="D10" s="24"/>
      <c r="E10" s="24"/>
      <c r="F10" s="25" t="s">
        <v>113</v>
      </c>
      <c r="G10" s="25"/>
      <c r="H10" s="25"/>
      <c r="I10" s="32"/>
      <c r="J10" s="31">
        <f>I10*G10</f>
        <v>0</v>
      </c>
    </row>
    <row r="11" spans="1:10" ht="13.5" x14ac:dyDescent="0.15">
      <c r="A11" s="24"/>
      <c r="B11" s="24"/>
      <c r="C11" s="24"/>
      <c r="D11" s="24"/>
      <c r="E11" s="24"/>
      <c r="F11" s="25" t="s">
        <v>114</v>
      </c>
      <c r="G11" s="25"/>
      <c r="H11" s="25"/>
      <c r="I11" s="32"/>
      <c r="J11" s="33">
        <f>I11*G11</f>
        <v>0</v>
      </c>
    </row>
    <row r="12" spans="1:10" ht="13.5" x14ac:dyDescent="0.15">
      <c r="A12" s="24"/>
      <c r="B12" s="24"/>
      <c r="C12" s="24"/>
      <c r="D12" s="24"/>
      <c r="E12" s="24"/>
      <c r="F12" s="24"/>
      <c r="G12" s="24"/>
      <c r="H12" s="24"/>
      <c r="I12" s="24"/>
      <c r="J12" s="34">
        <f>SUM(J6:J11)</f>
        <v>766.71990125000002</v>
      </c>
    </row>
    <row r="14" spans="1:10" ht="13.5" x14ac:dyDescent="0.15">
      <c r="I14" s="25" t="s">
        <v>10</v>
      </c>
      <c r="J14" s="35">
        <f>J12*1.1</f>
        <v>843.39189137500011</v>
      </c>
    </row>
    <row r="17" spans="1:10" ht="13.5" x14ac:dyDescent="0.15">
      <c r="A17" s="187" t="s">
        <v>116</v>
      </c>
      <c r="B17" s="187"/>
      <c r="C17" s="187"/>
      <c r="D17" s="187"/>
      <c r="E17" s="187"/>
      <c r="F17" s="187"/>
      <c r="G17" s="187"/>
      <c r="H17" s="23"/>
      <c r="I17" s="24"/>
      <c r="J17" s="24"/>
    </row>
    <row r="18" spans="1:10" ht="13.5" x14ac:dyDescent="0.15">
      <c r="A18" s="187"/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ht="13.5" x14ac:dyDescent="0.15">
      <c r="A19" s="25"/>
      <c r="B19" s="26" t="s">
        <v>103</v>
      </c>
      <c r="C19" s="26" t="s">
        <v>104</v>
      </c>
      <c r="D19" s="26" t="s">
        <v>105</v>
      </c>
      <c r="E19" s="26" t="s">
        <v>106</v>
      </c>
      <c r="F19" s="26" t="s">
        <v>107</v>
      </c>
      <c r="G19" s="26"/>
      <c r="H19" s="26" t="s">
        <v>2</v>
      </c>
      <c r="I19" s="26" t="s">
        <v>11</v>
      </c>
      <c r="J19" s="26" t="s">
        <v>10</v>
      </c>
    </row>
    <row r="20" spans="1:10" ht="13.5" x14ac:dyDescent="0.15">
      <c r="A20" s="27" t="s">
        <v>108</v>
      </c>
      <c r="B20" s="31">
        <v>0.3</v>
      </c>
      <c r="C20" s="31">
        <v>0.3</v>
      </c>
      <c r="D20" s="31">
        <v>0.3</v>
      </c>
      <c r="E20" s="28">
        <f>D20*C20*B20</f>
        <v>2.7E-2</v>
      </c>
      <c r="F20" s="25">
        <v>1</v>
      </c>
      <c r="G20" s="28">
        <f>F20*E20</f>
        <v>2.7E-2</v>
      </c>
      <c r="H20" s="29" t="s">
        <v>109</v>
      </c>
      <c r="I20" s="30">
        <v>247.2</v>
      </c>
      <c r="J20" s="31">
        <f>I20*E20</f>
        <v>6.6743999999999994</v>
      </c>
    </row>
    <row r="21" spans="1:10" ht="13.5" x14ac:dyDescent="0.15">
      <c r="A21" s="27" t="s">
        <v>110</v>
      </c>
      <c r="B21" s="31">
        <v>0.3</v>
      </c>
      <c r="C21" s="25"/>
      <c r="D21" s="31">
        <v>0.3</v>
      </c>
      <c r="E21" s="28">
        <f>(B21*D21)*1.15</f>
        <v>0.10349999999999999</v>
      </c>
      <c r="F21" s="25">
        <v>4</v>
      </c>
      <c r="G21" s="28">
        <f>F21*E21</f>
        <v>0.41399999999999998</v>
      </c>
      <c r="H21" s="29" t="s">
        <v>39</v>
      </c>
      <c r="I21" s="32">
        <v>389.1</v>
      </c>
      <c r="J21" s="31">
        <f>I21*E21</f>
        <v>40.271850000000001</v>
      </c>
    </row>
    <row r="22" spans="1:10" ht="13.5" x14ac:dyDescent="0.15">
      <c r="A22" s="27" t="s">
        <v>111</v>
      </c>
      <c r="B22" s="31">
        <v>0.3</v>
      </c>
      <c r="C22" s="31">
        <v>0.3</v>
      </c>
      <c r="D22" s="31">
        <v>0.3</v>
      </c>
      <c r="E22" s="28">
        <f>(D22*C22*B22)*1.15</f>
        <v>3.1049999999999998E-2</v>
      </c>
      <c r="F22" s="25">
        <v>1</v>
      </c>
      <c r="G22" s="28">
        <f>F22*E22</f>
        <v>3.1049999999999998E-2</v>
      </c>
      <c r="H22" s="29" t="s">
        <v>21</v>
      </c>
      <c r="I22" s="32">
        <v>4842.16</v>
      </c>
      <c r="J22" s="31">
        <f>I22*E22</f>
        <v>150.34906799999999</v>
      </c>
    </row>
    <row r="23" spans="1:10" ht="13.5" x14ac:dyDescent="0.15">
      <c r="A23" s="25"/>
      <c r="B23" s="24"/>
      <c r="C23" s="24"/>
      <c r="D23" s="24"/>
      <c r="E23" s="24"/>
      <c r="F23" s="25" t="s">
        <v>112</v>
      </c>
      <c r="G23" s="28">
        <f>((15*0.3)*1.15)*0.994</f>
        <v>5.1439499999999994</v>
      </c>
      <c r="H23" s="25" t="s">
        <v>32</v>
      </c>
      <c r="I23" s="32">
        <v>54.35</v>
      </c>
      <c r="J23" s="31">
        <f>I23*G23</f>
        <v>279.57368249999996</v>
      </c>
    </row>
    <row r="24" spans="1:10" ht="13.5" x14ac:dyDescent="0.15">
      <c r="A24" s="24"/>
      <c r="B24" s="24"/>
      <c r="C24" s="24"/>
      <c r="D24" s="24"/>
      <c r="E24" s="24"/>
      <c r="F24" s="25" t="s">
        <v>113</v>
      </c>
      <c r="G24" s="25"/>
      <c r="H24" s="25"/>
      <c r="I24" s="32"/>
      <c r="J24" s="31">
        <f>I24*G24</f>
        <v>0</v>
      </c>
    </row>
    <row r="25" spans="1:10" ht="13.5" x14ac:dyDescent="0.15">
      <c r="A25" s="24"/>
      <c r="B25" s="24"/>
      <c r="C25" s="24"/>
      <c r="D25" s="24"/>
      <c r="E25" s="24"/>
      <c r="F25" s="25" t="s">
        <v>114</v>
      </c>
      <c r="G25" s="25"/>
      <c r="H25" s="25"/>
      <c r="I25" s="32"/>
      <c r="J25" s="33">
        <f>I25*G25</f>
        <v>0</v>
      </c>
    </row>
    <row r="26" spans="1:10" ht="13.5" x14ac:dyDescent="0.15">
      <c r="A26" s="24"/>
      <c r="B26" s="24"/>
      <c r="C26" s="24"/>
      <c r="D26" s="24"/>
      <c r="E26" s="24"/>
      <c r="F26" s="24"/>
      <c r="G26" s="24"/>
      <c r="H26" s="24"/>
      <c r="I26" s="24"/>
      <c r="J26" s="34">
        <f>SUM(J20:J25)</f>
        <v>476.86900049999997</v>
      </c>
    </row>
    <row r="28" spans="1:10" ht="13.5" x14ac:dyDescent="0.15">
      <c r="I28" s="25" t="s">
        <v>10</v>
      </c>
      <c r="J28" s="35">
        <f>J26*1.1</f>
        <v>524.55590055000005</v>
      </c>
    </row>
    <row r="31" spans="1:10" ht="13.5" x14ac:dyDescent="0.15">
      <c r="A31" s="187" t="s">
        <v>117</v>
      </c>
      <c r="B31" s="187"/>
      <c r="C31" s="187"/>
      <c r="D31" s="187"/>
      <c r="E31" s="187"/>
      <c r="F31" s="187"/>
      <c r="G31" s="187"/>
      <c r="H31" s="23"/>
      <c r="I31" s="24"/>
      <c r="J31" s="24"/>
    </row>
    <row r="32" spans="1:10" ht="13.5" x14ac:dyDescent="0.15">
      <c r="A32" s="187"/>
      <c r="B32" s="187"/>
      <c r="C32" s="187"/>
      <c r="D32" s="187"/>
      <c r="E32" s="187"/>
      <c r="F32" s="187"/>
      <c r="G32" s="187"/>
      <c r="H32" s="187"/>
      <c r="I32" s="187"/>
      <c r="J32" s="187"/>
    </row>
    <row r="33" spans="1:10" ht="13.5" x14ac:dyDescent="0.15">
      <c r="A33" s="25"/>
      <c r="B33" s="26" t="s">
        <v>103</v>
      </c>
      <c r="C33" s="26" t="s">
        <v>104</v>
      </c>
      <c r="D33" s="26" t="s">
        <v>105</v>
      </c>
      <c r="E33" s="26" t="s">
        <v>106</v>
      </c>
      <c r="F33" s="26" t="s">
        <v>107</v>
      </c>
      <c r="G33" s="26"/>
      <c r="H33" s="26" t="s">
        <v>2</v>
      </c>
      <c r="I33" s="26" t="s">
        <v>11</v>
      </c>
      <c r="J33" s="26" t="s">
        <v>10</v>
      </c>
    </row>
    <row r="34" spans="1:10" ht="13.5" x14ac:dyDescent="0.15">
      <c r="A34" s="27" t="s">
        <v>108</v>
      </c>
      <c r="B34" s="31">
        <v>0.5</v>
      </c>
      <c r="C34" s="31">
        <v>0.5</v>
      </c>
      <c r="D34" s="31">
        <v>0.5</v>
      </c>
      <c r="E34" s="28">
        <f>D34*C34*B34</f>
        <v>0.125</v>
      </c>
      <c r="F34" s="25">
        <v>1</v>
      </c>
      <c r="G34" s="28">
        <f>F34*E34</f>
        <v>0.125</v>
      </c>
      <c r="H34" s="29" t="s">
        <v>109</v>
      </c>
      <c r="I34" s="30">
        <v>247.2</v>
      </c>
      <c r="J34" s="31">
        <f>I34*E34</f>
        <v>30.9</v>
      </c>
    </row>
    <row r="35" spans="1:10" ht="13.5" x14ac:dyDescent="0.15">
      <c r="A35" s="27" t="s">
        <v>110</v>
      </c>
      <c r="B35" s="31">
        <v>0.5</v>
      </c>
      <c r="C35" s="25"/>
      <c r="D35" s="31">
        <v>0.5</v>
      </c>
      <c r="E35" s="28">
        <f>(B35*D35)*1.15</f>
        <v>0.28749999999999998</v>
      </c>
      <c r="F35" s="25">
        <v>4</v>
      </c>
      <c r="G35" s="28">
        <f>F35*E35</f>
        <v>1.1499999999999999</v>
      </c>
      <c r="H35" s="29" t="s">
        <v>39</v>
      </c>
      <c r="I35" s="32">
        <v>389.1</v>
      </c>
      <c r="J35" s="31">
        <f>I35*E35</f>
        <v>111.86624999999999</v>
      </c>
    </row>
    <row r="36" spans="1:10" ht="13.5" x14ac:dyDescent="0.15">
      <c r="A36" s="27" t="s">
        <v>111</v>
      </c>
      <c r="B36" s="31">
        <v>0.5</v>
      </c>
      <c r="C36" s="31">
        <v>0.5</v>
      </c>
      <c r="D36" s="31">
        <v>0.5</v>
      </c>
      <c r="E36" s="28">
        <f>(D36*C36*B36)*1.15</f>
        <v>0.14374999999999999</v>
      </c>
      <c r="F36" s="25">
        <v>1</v>
      </c>
      <c r="G36" s="28">
        <f>F36*E36</f>
        <v>0.14374999999999999</v>
      </c>
      <c r="H36" s="29" t="s">
        <v>21</v>
      </c>
      <c r="I36" s="32">
        <v>4842.16</v>
      </c>
      <c r="J36" s="31">
        <f>I36*E36</f>
        <v>696.06049999999993</v>
      </c>
    </row>
    <row r="37" spans="1:10" ht="13.5" x14ac:dyDescent="0.15">
      <c r="A37" s="25"/>
      <c r="B37" s="24"/>
      <c r="C37" s="24"/>
      <c r="D37" s="24"/>
      <c r="E37" s="24"/>
      <c r="F37" s="25" t="s">
        <v>112</v>
      </c>
      <c r="G37" s="28">
        <f>((15*0.3)*1.15)*0.994</f>
        <v>5.1439499999999994</v>
      </c>
      <c r="H37" s="25" t="s">
        <v>32</v>
      </c>
      <c r="I37" s="32">
        <v>54.35</v>
      </c>
      <c r="J37" s="31">
        <f>I37*G37</f>
        <v>279.57368249999996</v>
      </c>
    </row>
    <row r="38" spans="1:10" ht="13.5" x14ac:dyDescent="0.15">
      <c r="A38" s="24"/>
      <c r="B38" s="24"/>
      <c r="C38" s="24"/>
      <c r="D38" s="24"/>
      <c r="E38" s="24"/>
      <c r="F38" s="25" t="s">
        <v>113</v>
      </c>
      <c r="G38" s="25"/>
      <c r="H38" s="25"/>
      <c r="I38" s="32"/>
      <c r="J38" s="31">
        <f>I38*G38</f>
        <v>0</v>
      </c>
    </row>
    <row r="39" spans="1:10" ht="13.5" x14ac:dyDescent="0.15">
      <c r="A39" s="24"/>
      <c r="B39" s="24"/>
      <c r="C39" s="24"/>
      <c r="D39" s="24"/>
      <c r="E39" s="24"/>
      <c r="F39" s="25" t="s">
        <v>114</v>
      </c>
      <c r="G39" s="25"/>
      <c r="H39" s="25"/>
      <c r="I39" s="32"/>
      <c r="J39" s="33">
        <f>I39*G39</f>
        <v>0</v>
      </c>
    </row>
    <row r="40" spans="1:10" ht="13.5" x14ac:dyDescent="0.15">
      <c r="A40" s="24"/>
      <c r="B40" s="24"/>
      <c r="C40" s="24"/>
      <c r="D40" s="24"/>
      <c r="E40" s="24"/>
      <c r="F40" s="24"/>
      <c r="G40" s="24"/>
      <c r="H40" s="24"/>
      <c r="I40" s="24"/>
      <c r="J40" s="34">
        <f>SUM(J34:J39)</f>
        <v>1118.4004324999999</v>
      </c>
    </row>
    <row r="42" spans="1:10" ht="13.5" x14ac:dyDescent="0.15">
      <c r="I42" s="25" t="s">
        <v>10</v>
      </c>
      <c r="J42" s="35">
        <f>J40*1.1</f>
        <v>1230.2404757499999</v>
      </c>
    </row>
  </sheetData>
  <mergeCells count="6">
    <mergeCell ref="A32:J32"/>
    <mergeCell ref="A3:G3"/>
    <mergeCell ref="A4:J4"/>
    <mergeCell ref="A17:G17"/>
    <mergeCell ref="A18:J18"/>
    <mergeCell ref="A31:G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78" transitionEvaluation="1" transitionEntry="1">
    <tabColor rgb="FF92D050"/>
  </sheetPr>
  <dimension ref="A1:BH364"/>
  <sheetViews>
    <sheetView showGridLines="0" tabSelected="1" view="pageBreakPreview" topLeftCell="A178" zoomScaleSheetLayoutView="100" workbookViewId="0">
      <selection activeCell="D15" sqref="D15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5" width="14.83203125" style="175" customWidth="1"/>
    <col min="6" max="6" width="15" style="175" customWidth="1"/>
    <col min="7" max="7" width="14.83203125" style="1" customWidth="1"/>
    <col min="8" max="8" width="19.1640625" style="50" customWidth="1"/>
    <col min="9" max="9" width="12" style="50"/>
    <col min="10" max="10" width="15.33203125" style="1" customWidth="1"/>
    <col min="11" max="11" width="22.6640625" style="1" bestFit="1" customWidth="1"/>
    <col min="12" max="12" width="15.1640625" style="1" customWidth="1"/>
    <col min="13" max="13" width="12.5" style="1" bestFit="1" customWidth="1"/>
    <col min="14" max="15" width="14" style="1" bestFit="1" customWidth="1"/>
    <col min="16" max="16384" width="12" style="1"/>
  </cols>
  <sheetData>
    <row r="1" spans="1:60" s="37" customFormat="1" ht="8.1" customHeight="1" x14ac:dyDescent="0.2">
      <c r="A1" s="82"/>
      <c r="B1" s="83"/>
      <c r="C1" s="83"/>
      <c r="D1" s="150"/>
      <c r="E1" s="150"/>
      <c r="F1" s="150"/>
      <c r="G1" s="84"/>
      <c r="H1" s="36"/>
      <c r="I1" s="36"/>
    </row>
    <row r="2" spans="1:60" s="37" customFormat="1" ht="20.25" x14ac:dyDescent="0.3">
      <c r="A2" s="189" t="s">
        <v>1</v>
      </c>
      <c r="B2" s="190"/>
      <c r="C2" s="190"/>
      <c r="D2" s="190"/>
      <c r="E2" s="190"/>
      <c r="F2" s="190"/>
      <c r="G2" s="191"/>
      <c r="H2" s="36"/>
      <c r="I2" s="36"/>
    </row>
    <row r="3" spans="1:60" s="37" customFormat="1" ht="18" x14ac:dyDescent="0.25">
      <c r="A3" s="192" t="s">
        <v>8</v>
      </c>
      <c r="B3" s="193"/>
      <c r="C3" s="193"/>
      <c r="D3" s="193"/>
      <c r="E3" s="193"/>
      <c r="F3" s="193"/>
      <c r="G3" s="194"/>
      <c r="H3" s="36"/>
      <c r="I3" s="36"/>
    </row>
    <row r="4" spans="1:60" s="37" customFormat="1" x14ac:dyDescent="0.2">
      <c r="A4" s="38"/>
      <c r="B4" s="195"/>
      <c r="C4" s="195"/>
      <c r="D4" s="195"/>
      <c r="E4" s="195"/>
      <c r="F4" s="195"/>
      <c r="G4" s="196"/>
      <c r="H4" s="36"/>
      <c r="I4" s="36"/>
    </row>
    <row r="5" spans="1:60" s="37" customFormat="1" x14ac:dyDescent="0.2">
      <c r="A5" s="39"/>
      <c r="B5" s="85"/>
      <c r="C5" s="85"/>
      <c r="D5" s="176"/>
      <c r="E5" s="176"/>
      <c r="F5" s="151"/>
      <c r="G5" s="86"/>
      <c r="H5" s="40"/>
      <c r="I5" s="36"/>
    </row>
    <row r="6" spans="1:60" s="37" customFormat="1" ht="24.75" customHeight="1" x14ac:dyDescent="0.2">
      <c r="A6" s="41" t="s">
        <v>13</v>
      </c>
      <c r="B6" s="197" t="s">
        <v>296</v>
      </c>
      <c r="C6" s="197"/>
      <c r="D6" s="197"/>
      <c r="E6" s="197"/>
      <c r="F6" s="197"/>
      <c r="G6" s="198"/>
      <c r="H6" s="36"/>
      <c r="I6" s="36"/>
    </row>
    <row r="7" spans="1:60" s="37" customFormat="1" ht="12" customHeight="1" x14ac:dyDescent="0.2">
      <c r="A7" s="42" t="s">
        <v>14</v>
      </c>
      <c r="B7" s="87" t="s">
        <v>281</v>
      </c>
      <c r="C7" s="88"/>
      <c r="D7" s="199"/>
      <c r="E7" s="199"/>
      <c r="F7" s="199"/>
      <c r="G7" s="200"/>
      <c r="H7" s="36"/>
      <c r="I7" s="36"/>
    </row>
    <row r="8" spans="1:60" s="37" customFormat="1" ht="12" customHeight="1" thickBot="1" x14ac:dyDescent="0.3">
      <c r="A8" s="89" t="s">
        <v>15</v>
      </c>
      <c r="B8" s="90" t="s">
        <v>282</v>
      </c>
      <c r="C8" s="91"/>
      <c r="D8" s="177"/>
      <c r="E8" s="177"/>
      <c r="F8" s="152"/>
      <c r="G8" s="92"/>
      <c r="H8" s="36"/>
      <c r="I8" s="36"/>
    </row>
    <row r="9" spans="1:60" s="37" customFormat="1" ht="12" customHeight="1" thickTop="1" thickBot="1" x14ac:dyDescent="0.3">
      <c r="A9" s="89"/>
      <c r="B9" s="90"/>
      <c r="C9" s="91"/>
      <c r="D9" s="177"/>
      <c r="E9" s="177"/>
      <c r="F9" s="152"/>
      <c r="G9" s="105"/>
      <c r="H9" s="36"/>
      <c r="I9" s="36"/>
    </row>
    <row r="10" spans="1:60" s="37" customFormat="1" ht="12" customHeight="1" thickTop="1" thickBot="1" x14ac:dyDescent="0.3">
      <c r="A10" s="89"/>
      <c r="B10" s="90"/>
      <c r="C10" s="91"/>
      <c r="D10" s="177"/>
      <c r="E10" s="177"/>
      <c r="F10" s="152"/>
      <c r="G10" s="105"/>
      <c r="H10" s="36"/>
      <c r="I10" s="36"/>
    </row>
    <row r="11" spans="1:60" s="48" customFormat="1" ht="28.5" thickTop="1" thickBot="1" x14ac:dyDescent="0.3">
      <c r="A11" s="46" t="s">
        <v>2</v>
      </c>
      <c r="B11" s="47" t="s">
        <v>3</v>
      </c>
      <c r="C11" s="47" t="s">
        <v>4</v>
      </c>
      <c r="D11" s="178" t="s">
        <v>5</v>
      </c>
      <c r="E11" s="153" t="s">
        <v>301</v>
      </c>
      <c r="F11" s="153" t="s">
        <v>265</v>
      </c>
      <c r="G11" s="93" t="s">
        <v>6</v>
      </c>
      <c r="H11" s="15">
        <f>H220</f>
        <v>0</v>
      </c>
      <c r="I11" s="15" t="s">
        <v>295</v>
      </c>
      <c r="J11" s="144">
        <v>2100</v>
      </c>
      <c r="K11" s="146">
        <v>194.44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</row>
    <row r="12" spans="1:60" s="3" customFormat="1" ht="9" customHeight="1" thickTop="1" x14ac:dyDescent="0.25">
      <c r="A12" s="106"/>
      <c r="B12" s="43"/>
      <c r="C12" s="12"/>
      <c r="D12" s="179"/>
      <c r="E12" s="179"/>
      <c r="F12" s="154"/>
      <c r="G12" s="44"/>
      <c r="H12" s="15"/>
      <c r="I12" s="15"/>
    </row>
    <row r="13" spans="1:60" s="3" customFormat="1" ht="10.5" customHeight="1" x14ac:dyDescent="0.25">
      <c r="A13" s="115">
        <v>1</v>
      </c>
      <c r="B13" s="51" t="s">
        <v>118</v>
      </c>
      <c r="C13" s="99"/>
      <c r="D13" s="161"/>
      <c r="E13" s="161"/>
      <c r="F13" s="155"/>
      <c r="G13" s="116"/>
      <c r="H13" s="6"/>
      <c r="I13" s="15"/>
    </row>
    <row r="14" spans="1:60" s="3" customFormat="1" ht="11.1" customHeight="1" x14ac:dyDescent="0.25">
      <c r="A14" s="117"/>
      <c r="B14" s="51" t="s">
        <v>59</v>
      </c>
      <c r="C14" s="52"/>
      <c r="D14" s="161"/>
      <c r="E14" s="161"/>
      <c r="F14" s="155"/>
      <c r="G14" s="116"/>
      <c r="H14" s="6"/>
      <c r="I14" s="15"/>
    </row>
    <row r="15" spans="1:60" s="3" customFormat="1" ht="218.25" customHeight="1" x14ac:dyDescent="0.25">
      <c r="A15" s="118" t="s">
        <v>119</v>
      </c>
      <c r="B15" s="97" t="s">
        <v>283</v>
      </c>
      <c r="C15" s="98" t="s">
        <v>58</v>
      </c>
      <c r="D15" s="161">
        <v>1</v>
      </c>
      <c r="E15" s="161"/>
      <c r="F15" s="156"/>
      <c r="G15" s="119">
        <f>ROUND(D15*F15,2)</f>
        <v>0</v>
      </c>
      <c r="H15" s="54"/>
      <c r="I15" s="55"/>
    </row>
    <row r="16" spans="1:60" s="3" customFormat="1" ht="11.1" customHeight="1" x14ac:dyDescent="0.25">
      <c r="A16" s="117"/>
      <c r="B16" s="57"/>
      <c r="C16" s="52"/>
      <c r="D16" s="161"/>
      <c r="E16" s="161"/>
      <c r="F16" s="157" t="s">
        <v>59</v>
      </c>
      <c r="G16" s="120">
        <f>SUM(G15)</f>
        <v>0</v>
      </c>
      <c r="H16" s="56"/>
      <c r="I16" s="15"/>
    </row>
    <row r="17" spans="1:9" s="3" customFormat="1" ht="11.1" customHeight="1" x14ac:dyDescent="0.25">
      <c r="A17" s="115">
        <v>2</v>
      </c>
      <c r="B17" s="53" t="s">
        <v>120</v>
      </c>
      <c r="C17" s="52"/>
      <c r="D17" s="161"/>
      <c r="E17" s="161"/>
      <c r="F17" s="155"/>
      <c r="G17" s="121"/>
      <c r="H17" s="68"/>
      <c r="I17" s="15"/>
    </row>
    <row r="18" spans="1:9" s="3" customFormat="1" ht="11.1" customHeight="1" x14ac:dyDescent="0.25">
      <c r="A18" s="117"/>
      <c r="B18" s="51" t="s">
        <v>59</v>
      </c>
      <c r="C18" s="52"/>
      <c r="D18" s="161"/>
      <c r="E18" s="161"/>
      <c r="F18" s="155"/>
      <c r="G18" s="116"/>
      <c r="H18" s="6"/>
      <c r="I18" s="15"/>
    </row>
    <row r="19" spans="1:9" s="3" customFormat="1" ht="154.5" customHeight="1" x14ac:dyDescent="0.25">
      <c r="A19" s="118" t="s">
        <v>121</v>
      </c>
      <c r="B19" s="97" t="s">
        <v>122</v>
      </c>
      <c r="C19" s="98" t="s">
        <v>123</v>
      </c>
      <c r="D19" s="161">
        <v>1</v>
      </c>
      <c r="E19" s="161"/>
      <c r="F19" s="156"/>
      <c r="G19" s="119">
        <f>ROUND(D19*F19,2)</f>
        <v>0</v>
      </c>
      <c r="H19" s="54"/>
      <c r="I19" s="55"/>
    </row>
    <row r="20" spans="1:9" s="3" customFormat="1" ht="11.1" customHeight="1" x14ac:dyDescent="0.25">
      <c r="A20" s="117"/>
      <c r="B20" s="57"/>
      <c r="C20" s="52"/>
      <c r="D20" s="161"/>
      <c r="E20" s="161"/>
      <c r="F20" s="157" t="s">
        <v>59</v>
      </c>
      <c r="G20" s="120">
        <f>SUM(G19)</f>
        <v>0</v>
      </c>
      <c r="H20" s="56"/>
      <c r="I20" s="15"/>
    </row>
    <row r="21" spans="1:9" s="3" customFormat="1" ht="11.1" customHeight="1" x14ac:dyDescent="0.25">
      <c r="A21" s="122">
        <v>3</v>
      </c>
      <c r="B21" s="53" t="s">
        <v>124</v>
      </c>
      <c r="C21" s="52"/>
      <c r="D21" s="161"/>
      <c r="E21" s="161"/>
      <c r="F21" s="155"/>
      <c r="G21" s="121"/>
      <c r="H21" s="68"/>
      <c r="I21" s="15"/>
    </row>
    <row r="22" spans="1:9" s="3" customFormat="1" ht="11.1" customHeight="1" x14ac:dyDescent="0.25">
      <c r="A22" s="117"/>
      <c r="B22" s="51" t="s">
        <v>59</v>
      </c>
      <c r="C22" s="52"/>
      <c r="D22" s="161"/>
      <c r="E22" s="161"/>
      <c r="F22" s="155"/>
      <c r="G22" s="121"/>
      <c r="H22" s="68"/>
      <c r="I22" s="15"/>
    </row>
    <row r="23" spans="1:9" s="3" customFormat="1" ht="53.25" customHeight="1" x14ac:dyDescent="0.25">
      <c r="A23" s="118" t="s">
        <v>125</v>
      </c>
      <c r="B23" s="97" t="s">
        <v>126</v>
      </c>
      <c r="C23" s="98" t="s">
        <v>127</v>
      </c>
      <c r="D23" s="161">
        <v>0.2</v>
      </c>
      <c r="E23" s="161"/>
      <c r="F23" s="156"/>
      <c r="G23" s="119">
        <f t="shared" ref="G23:G24" si="0">ROUND(D23*F23,2)</f>
        <v>0</v>
      </c>
      <c r="H23" s="54"/>
      <c r="I23" s="55"/>
    </row>
    <row r="24" spans="1:9" s="3" customFormat="1" ht="88.5" customHeight="1" x14ac:dyDescent="0.25">
      <c r="A24" s="118" t="s">
        <v>128</v>
      </c>
      <c r="B24" s="97" t="s">
        <v>284</v>
      </c>
      <c r="C24" s="98" t="s">
        <v>58</v>
      </c>
      <c r="D24" s="161">
        <v>1</v>
      </c>
      <c r="E24" s="161"/>
      <c r="F24" s="156"/>
      <c r="G24" s="119">
        <f t="shared" si="0"/>
        <v>0</v>
      </c>
      <c r="H24" s="101">
        <f>F24-18120.52</f>
        <v>-18120.52</v>
      </c>
      <c r="I24" s="143"/>
    </row>
    <row r="25" spans="1:9" s="3" customFormat="1" ht="11.1" customHeight="1" x14ac:dyDescent="0.25">
      <c r="A25" s="117"/>
      <c r="B25" s="57"/>
      <c r="C25" s="52"/>
      <c r="D25" s="161"/>
      <c r="E25" s="161"/>
      <c r="F25" s="157" t="s">
        <v>59</v>
      </c>
      <c r="G25" s="120">
        <f>SUM(G23:G24)</f>
        <v>0</v>
      </c>
      <c r="H25" s="56"/>
      <c r="I25" s="15"/>
    </row>
    <row r="26" spans="1:9" s="3" customFormat="1" ht="11.1" customHeight="1" x14ac:dyDescent="0.25">
      <c r="A26" s="122">
        <v>4</v>
      </c>
      <c r="B26" s="53" t="s">
        <v>129</v>
      </c>
      <c r="C26" s="98"/>
      <c r="D26" s="161"/>
      <c r="E26" s="161"/>
      <c r="F26" s="155"/>
      <c r="G26" s="123"/>
      <c r="H26" s="69"/>
      <c r="I26" s="15"/>
    </row>
    <row r="27" spans="1:9" s="3" customFormat="1" ht="11.1" customHeight="1" x14ac:dyDescent="0.25">
      <c r="A27" s="118"/>
      <c r="B27" s="51" t="s">
        <v>250</v>
      </c>
      <c r="C27" s="98"/>
      <c r="D27" s="161"/>
      <c r="E27" s="161"/>
      <c r="F27" s="155"/>
      <c r="G27" s="123"/>
      <c r="H27" s="69"/>
      <c r="I27" s="15"/>
    </row>
    <row r="28" spans="1:9" s="3" customFormat="1" ht="6.75" customHeight="1" x14ac:dyDescent="0.25">
      <c r="A28" s="124"/>
      <c r="B28" s="51"/>
      <c r="C28" s="51"/>
      <c r="D28" s="158"/>
      <c r="E28" s="158"/>
      <c r="F28" s="158"/>
      <c r="G28" s="125"/>
      <c r="H28" s="69"/>
      <c r="I28" s="15"/>
    </row>
    <row r="29" spans="1:9" s="3" customFormat="1" ht="43.5" customHeight="1" x14ac:dyDescent="0.25">
      <c r="A29" s="118" t="s">
        <v>243</v>
      </c>
      <c r="B29" s="97" t="s">
        <v>130</v>
      </c>
      <c r="C29" s="98" t="s">
        <v>17</v>
      </c>
      <c r="D29" s="161">
        <v>84</v>
      </c>
      <c r="E29" s="161"/>
      <c r="F29" s="156"/>
      <c r="G29" s="119">
        <f t="shared" ref="G29:G35" si="1">ROUND(D29*F29,2)</f>
        <v>0</v>
      </c>
      <c r="H29" s="54"/>
      <c r="I29" s="55"/>
    </row>
    <row r="30" spans="1:9" s="3" customFormat="1" ht="43.5" customHeight="1" x14ac:dyDescent="0.25">
      <c r="A30" s="118" t="s">
        <v>244</v>
      </c>
      <c r="B30" s="97" t="s">
        <v>252</v>
      </c>
      <c r="C30" s="98" t="s">
        <v>17</v>
      </c>
      <c r="D30" s="161">
        <v>42</v>
      </c>
      <c r="E30" s="161"/>
      <c r="F30" s="156"/>
      <c r="G30" s="119">
        <f t="shared" si="1"/>
        <v>0</v>
      </c>
      <c r="H30" s="54"/>
      <c r="I30" s="78"/>
    </row>
    <row r="31" spans="1:9" s="3" customFormat="1" ht="32.25" customHeight="1" x14ac:dyDescent="0.25">
      <c r="A31" s="118" t="s">
        <v>245</v>
      </c>
      <c r="B31" s="97" t="s">
        <v>131</v>
      </c>
      <c r="C31" s="98" t="s">
        <v>17</v>
      </c>
      <c r="D31" s="161">
        <v>168</v>
      </c>
      <c r="E31" s="161"/>
      <c r="F31" s="156"/>
      <c r="G31" s="119">
        <f t="shared" si="1"/>
        <v>0</v>
      </c>
      <c r="H31" s="54"/>
      <c r="I31" s="78"/>
    </row>
    <row r="32" spans="1:9" s="3" customFormat="1" ht="18.75" customHeight="1" x14ac:dyDescent="0.25">
      <c r="A32" s="118" t="s">
        <v>246</v>
      </c>
      <c r="B32" s="97" t="s">
        <v>132</v>
      </c>
      <c r="C32" s="98" t="s">
        <v>17</v>
      </c>
      <c r="D32" s="161">
        <v>42</v>
      </c>
      <c r="E32" s="161"/>
      <c r="F32" s="156"/>
      <c r="G32" s="119">
        <f t="shared" si="1"/>
        <v>0</v>
      </c>
      <c r="H32" s="54"/>
      <c r="I32" s="78"/>
    </row>
    <row r="33" spans="1:11" s="3" customFormat="1" ht="26.25" customHeight="1" x14ac:dyDescent="0.25">
      <c r="A33" s="118" t="s">
        <v>247</v>
      </c>
      <c r="B33" s="97" t="s">
        <v>133</v>
      </c>
      <c r="C33" s="98" t="s">
        <v>17</v>
      </c>
      <c r="D33" s="161">
        <v>30</v>
      </c>
      <c r="E33" s="161"/>
      <c r="F33" s="156"/>
      <c r="G33" s="119">
        <f t="shared" si="1"/>
        <v>0</v>
      </c>
      <c r="H33" s="54"/>
      <c r="I33" s="15"/>
    </row>
    <row r="34" spans="1:11" s="3" customFormat="1" ht="27" customHeight="1" x14ac:dyDescent="0.25">
      <c r="A34" s="118" t="s">
        <v>248</v>
      </c>
      <c r="B34" s="97" t="s">
        <v>134</v>
      </c>
      <c r="C34" s="98" t="s">
        <v>17</v>
      </c>
      <c r="D34" s="161">
        <v>14</v>
      </c>
      <c r="E34" s="161"/>
      <c r="F34" s="156"/>
      <c r="G34" s="119">
        <f t="shared" si="1"/>
        <v>0</v>
      </c>
      <c r="H34" s="54"/>
      <c r="I34" s="15"/>
    </row>
    <row r="35" spans="1:11" s="3" customFormat="1" ht="44.1" customHeight="1" x14ac:dyDescent="0.25">
      <c r="A35" s="118" t="s">
        <v>249</v>
      </c>
      <c r="B35" s="97" t="s">
        <v>242</v>
      </c>
      <c r="C35" s="98" t="s">
        <v>17</v>
      </c>
      <c r="D35" s="161">
        <v>70</v>
      </c>
      <c r="E35" s="161"/>
      <c r="F35" s="156"/>
      <c r="G35" s="119">
        <f t="shared" si="1"/>
        <v>0</v>
      </c>
      <c r="H35" s="54"/>
      <c r="I35" s="78"/>
    </row>
    <row r="36" spans="1:11" s="3" customFormat="1" ht="11.1" customHeight="1" x14ac:dyDescent="0.25">
      <c r="A36" s="118"/>
      <c r="B36" s="97"/>
      <c r="C36" s="98"/>
      <c r="D36" s="161"/>
      <c r="E36" s="161"/>
      <c r="F36" s="157" t="s">
        <v>135</v>
      </c>
      <c r="G36" s="120">
        <f>SUM(G29:G35)</f>
        <v>0</v>
      </c>
      <c r="H36" s="56"/>
      <c r="I36" s="15"/>
    </row>
    <row r="37" spans="1:11" s="3" customFormat="1" ht="11.1" customHeight="1" x14ac:dyDescent="0.25">
      <c r="A37" s="118"/>
      <c r="B37" s="113" t="s">
        <v>251</v>
      </c>
      <c r="C37" s="98"/>
      <c r="D37" s="161"/>
      <c r="E37" s="161"/>
      <c r="F37" s="155"/>
      <c r="G37" s="123"/>
      <c r="H37" s="69"/>
      <c r="I37" s="15"/>
    </row>
    <row r="38" spans="1:11" s="3" customFormat="1" ht="33" customHeight="1" x14ac:dyDescent="0.25">
      <c r="A38" s="118" t="s">
        <v>136</v>
      </c>
      <c r="B38" s="97" t="s">
        <v>294</v>
      </c>
      <c r="C38" s="98" t="s">
        <v>17</v>
      </c>
      <c r="D38" s="161">
        <v>45</v>
      </c>
      <c r="E38" s="161"/>
      <c r="F38" s="156"/>
      <c r="G38" s="119">
        <f t="shared" ref="G38:G44" si="2">ROUND(D38*F38,2)</f>
        <v>0</v>
      </c>
      <c r="H38" s="54"/>
      <c r="I38" s="78"/>
    </row>
    <row r="39" spans="1:11" s="3" customFormat="1" ht="57.75" customHeight="1" x14ac:dyDescent="0.25">
      <c r="A39" s="118" t="s">
        <v>137</v>
      </c>
      <c r="B39" s="97" t="s">
        <v>138</v>
      </c>
      <c r="C39" s="98" t="s">
        <v>17</v>
      </c>
      <c r="D39" s="161">
        <v>1</v>
      </c>
      <c r="E39" s="161"/>
      <c r="F39" s="156"/>
      <c r="G39" s="119">
        <f t="shared" si="2"/>
        <v>0</v>
      </c>
      <c r="H39" s="54"/>
      <c r="I39" s="79"/>
    </row>
    <row r="40" spans="1:11" s="3" customFormat="1" ht="43.5" customHeight="1" x14ac:dyDescent="0.25">
      <c r="A40" s="118" t="s">
        <v>139</v>
      </c>
      <c r="B40" s="97" t="s">
        <v>140</v>
      </c>
      <c r="C40" s="98" t="s">
        <v>52</v>
      </c>
      <c r="D40" s="161">
        <v>320</v>
      </c>
      <c r="E40" s="161"/>
      <c r="F40" s="156"/>
      <c r="G40" s="119">
        <f t="shared" si="2"/>
        <v>0</v>
      </c>
      <c r="H40" s="54"/>
      <c r="I40" s="78"/>
    </row>
    <row r="41" spans="1:11" s="3" customFormat="1" ht="41.25" customHeight="1" x14ac:dyDescent="0.25">
      <c r="A41" s="118" t="s">
        <v>141</v>
      </c>
      <c r="B41" s="97" t="s">
        <v>142</v>
      </c>
      <c r="C41" s="98" t="s">
        <v>17</v>
      </c>
      <c r="D41" s="161">
        <v>1</v>
      </c>
      <c r="E41" s="161"/>
      <c r="F41" s="156"/>
      <c r="G41" s="119">
        <f t="shared" si="2"/>
        <v>0</v>
      </c>
      <c r="H41" s="54"/>
      <c r="I41" s="78"/>
    </row>
    <row r="42" spans="1:11" s="3" customFormat="1" ht="28.5" customHeight="1" x14ac:dyDescent="0.25">
      <c r="A42" s="118" t="s">
        <v>143</v>
      </c>
      <c r="B42" s="97" t="s">
        <v>144</v>
      </c>
      <c r="C42" s="98" t="s">
        <v>17</v>
      </c>
      <c r="D42" s="161">
        <v>1</v>
      </c>
      <c r="E42" s="161"/>
      <c r="F42" s="156"/>
      <c r="G42" s="119">
        <f t="shared" si="2"/>
        <v>0</v>
      </c>
      <c r="H42" s="54"/>
      <c r="I42" s="78"/>
    </row>
    <row r="43" spans="1:11" s="3" customFormat="1" ht="30" customHeight="1" x14ac:dyDescent="0.25">
      <c r="A43" s="118" t="s">
        <v>145</v>
      </c>
      <c r="B43" s="97" t="s">
        <v>146</v>
      </c>
      <c r="C43" s="98" t="s">
        <v>17</v>
      </c>
      <c r="D43" s="161">
        <v>1</v>
      </c>
      <c r="E43" s="161"/>
      <c r="F43" s="156"/>
      <c r="G43" s="119">
        <f t="shared" si="2"/>
        <v>0</v>
      </c>
      <c r="H43" s="54"/>
      <c r="I43" s="78"/>
    </row>
    <row r="44" spans="1:11" s="3" customFormat="1" ht="90" customHeight="1" x14ac:dyDescent="0.25">
      <c r="A44" s="118" t="s">
        <v>147</v>
      </c>
      <c r="B44" s="97" t="s">
        <v>148</v>
      </c>
      <c r="C44" s="98" t="s">
        <v>149</v>
      </c>
      <c r="D44" s="161">
        <v>1</v>
      </c>
      <c r="E44" s="161"/>
      <c r="F44" s="156"/>
      <c r="G44" s="119">
        <f t="shared" si="2"/>
        <v>0</v>
      </c>
      <c r="H44" s="54"/>
      <c r="I44" s="78"/>
      <c r="K44" s="80"/>
    </row>
    <row r="45" spans="1:11" s="3" customFormat="1" ht="11.1" customHeight="1" x14ac:dyDescent="0.25">
      <c r="A45" s="118"/>
      <c r="B45" s="97"/>
      <c r="C45" s="98"/>
      <c r="D45" s="161"/>
      <c r="E45" s="161"/>
      <c r="F45" s="157" t="s">
        <v>7</v>
      </c>
      <c r="G45" s="123">
        <f>SUM(G38:G44)</f>
        <v>0</v>
      </c>
      <c r="H45" s="69"/>
      <c r="I45" s="15"/>
    </row>
    <row r="46" spans="1:11" s="3" customFormat="1" ht="11.1" customHeight="1" x14ac:dyDescent="0.25">
      <c r="A46" s="115">
        <v>5</v>
      </c>
      <c r="B46" s="51" t="s">
        <v>266</v>
      </c>
      <c r="C46" s="52"/>
      <c r="D46" s="161"/>
      <c r="E46" s="161"/>
      <c r="F46" s="155"/>
      <c r="G46" s="119"/>
      <c r="H46" s="49"/>
      <c r="I46" s="15"/>
    </row>
    <row r="47" spans="1:11" s="3" customFormat="1" ht="11.1" customHeight="1" x14ac:dyDescent="0.25">
      <c r="A47" s="118"/>
      <c r="B47" s="53" t="s">
        <v>53</v>
      </c>
      <c r="C47" s="52"/>
      <c r="D47" s="161"/>
      <c r="E47" s="161"/>
      <c r="F47" s="155"/>
      <c r="G47" s="119"/>
      <c r="H47" s="49"/>
      <c r="I47" s="15"/>
      <c r="J47" s="94"/>
      <c r="K47" s="81"/>
    </row>
    <row r="48" spans="1:11" s="3" customFormat="1" ht="26.25" customHeight="1" x14ac:dyDescent="0.25">
      <c r="A48" s="117" t="s">
        <v>54</v>
      </c>
      <c r="B48" s="57" t="s">
        <v>55</v>
      </c>
      <c r="C48" s="52" t="s">
        <v>19</v>
      </c>
      <c r="D48" s="161">
        <v>3</v>
      </c>
      <c r="E48" s="161"/>
      <c r="F48" s="156"/>
      <c r="G48" s="119">
        <f t="shared" ref="G48:G61" si="3">ROUND(D48*F48,2)</f>
        <v>0</v>
      </c>
      <c r="H48" s="49"/>
      <c r="I48" s="15"/>
    </row>
    <row r="49" spans="1:10" s="3" customFormat="1" ht="84" customHeight="1" x14ac:dyDescent="0.25">
      <c r="A49" s="117" t="s">
        <v>88</v>
      </c>
      <c r="B49" s="57" t="s">
        <v>150</v>
      </c>
      <c r="C49" s="52"/>
      <c r="D49" s="161"/>
      <c r="E49" s="161"/>
      <c r="F49" s="156"/>
      <c r="G49" s="119">
        <f t="shared" si="3"/>
        <v>0</v>
      </c>
      <c r="H49" s="49"/>
      <c r="I49" s="15"/>
      <c r="J49" s="94"/>
    </row>
    <row r="50" spans="1:10" s="3" customFormat="1" ht="21.95" customHeight="1" x14ac:dyDescent="0.25">
      <c r="A50" s="117" t="s">
        <v>89</v>
      </c>
      <c r="B50" s="57" t="s">
        <v>78</v>
      </c>
      <c r="C50" s="52" t="s">
        <v>20</v>
      </c>
      <c r="D50" s="161">
        <v>0.3</v>
      </c>
      <c r="E50" s="161"/>
      <c r="F50" s="156"/>
      <c r="G50" s="119">
        <f t="shared" si="3"/>
        <v>0</v>
      </c>
      <c r="H50" s="49"/>
      <c r="I50" s="15"/>
    </row>
    <row r="51" spans="1:10" s="3" customFormat="1" ht="68.25" customHeight="1" x14ac:dyDescent="0.25">
      <c r="A51" s="117" t="s">
        <v>56</v>
      </c>
      <c r="B51" s="57" t="s">
        <v>151</v>
      </c>
      <c r="C51" s="52"/>
      <c r="D51" s="161"/>
      <c r="E51" s="161"/>
      <c r="F51" s="156"/>
      <c r="G51" s="119">
        <f t="shared" si="3"/>
        <v>0</v>
      </c>
      <c r="H51" s="49"/>
      <c r="I51" s="15"/>
    </row>
    <row r="52" spans="1:10" s="3" customFormat="1" ht="23.25" customHeight="1" x14ac:dyDescent="0.25">
      <c r="A52" s="117" t="s">
        <v>152</v>
      </c>
      <c r="B52" s="57" t="s">
        <v>153</v>
      </c>
      <c r="C52" s="52" t="s">
        <v>19</v>
      </c>
      <c r="D52" s="161">
        <v>2.84</v>
      </c>
      <c r="E52" s="161"/>
      <c r="F52" s="156"/>
      <c r="G52" s="119">
        <f t="shared" si="3"/>
        <v>0</v>
      </c>
      <c r="H52" s="49"/>
      <c r="I52" s="15"/>
    </row>
    <row r="53" spans="1:10" s="3" customFormat="1" ht="33" customHeight="1" x14ac:dyDescent="0.25">
      <c r="A53" s="118" t="s">
        <v>154</v>
      </c>
      <c r="B53" s="97" t="s">
        <v>155</v>
      </c>
      <c r="C53" s="98" t="s">
        <v>17</v>
      </c>
      <c r="D53" s="161">
        <v>2</v>
      </c>
      <c r="E53" s="161"/>
      <c r="F53" s="156"/>
      <c r="G53" s="119">
        <f t="shared" si="3"/>
        <v>0</v>
      </c>
      <c r="H53" s="58"/>
      <c r="I53" s="15"/>
    </row>
    <row r="54" spans="1:10" s="3" customFormat="1" ht="2.1" customHeight="1" x14ac:dyDescent="0.25">
      <c r="A54" s="126"/>
      <c r="B54" s="114"/>
      <c r="C54" s="114"/>
      <c r="D54" s="158"/>
      <c r="E54" s="158"/>
      <c r="F54" s="158"/>
      <c r="G54" s="119">
        <f t="shared" si="3"/>
        <v>0</v>
      </c>
      <c r="H54" s="49"/>
      <c r="I54" s="14"/>
    </row>
    <row r="55" spans="1:10" s="3" customFormat="1" ht="42.75" customHeight="1" x14ac:dyDescent="0.25">
      <c r="A55" s="118" t="s">
        <v>156</v>
      </c>
      <c r="B55" s="97" t="s">
        <v>157</v>
      </c>
      <c r="C55" s="98" t="s">
        <v>17</v>
      </c>
      <c r="D55" s="161">
        <v>88.75</v>
      </c>
      <c r="E55" s="161"/>
      <c r="F55" s="156"/>
      <c r="G55" s="119">
        <f t="shared" si="3"/>
        <v>0</v>
      </c>
      <c r="H55" s="49"/>
      <c r="I55" s="15"/>
    </row>
    <row r="56" spans="1:10" s="3" customFormat="1" ht="45" customHeight="1" x14ac:dyDescent="0.25">
      <c r="A56" s="117" t="s">
        <v>71</v>
      </c>
      <c r="B56" s="57" t="s">
        <v>158</v>
      </c>
      <c r="C56" s="52"/>
      <c r="D56" s="161"/>
      <c r="E56" s="161"/>
      <c r="F56" s="156"/>
      <c r="G56" s="119"/>
      <c r="H56" s="49"/>
      <c r="I56" s="15"/>
    </row>
    <row r="57" spans="1:10" s="3" customFormat="1" ht="11.1" customHeight="1" x14ac:dyDescent="0.25">
      <c r="A57" s="117"/>
      <c r="B57" s="57" t="s">
        <v>274</v>
      </c>
      <c r="C57" s="52" t="s">
        <v>17</v>
      </c>
      <c r="D57" s="161">
        <v>2</v>
      </c>
      <c r="E57" s="161"/>
      <c r="F57" s="156"/>
      <c r="G57" s="119">
        <f t="shared" si="3"/>
        <v>0</v>
      </c>
      <c r="H57" s="49"/>
      <c r="I57" s="15"/>
    </row>
    <row r="58" spans="1:10" s="3" customFormat="1" ht="21.95" customHeight="1" x14ac:dyDescent="0.25">
      <c r="A58" s="117" t="s">
        <v>72</v>
      </c>
      <c r="B58" s="57" t="s">
        <v>159</v>
      </c>
      <c r="C58" s="52"/>
      <c r="D58" s="161"/>
      <c r="E58" s="161"/>
      <c r="F58" s="156"/>
      <c r="G58" s="119">
        <f t="shared" si="3"/>
        <v>0</v>
      </c>
      <c r="H58" s="49"/>
      <c r="I58" s="15"/>
    </row>
    <row r="59" spans="1:10" s="3" customFormat="1" ht="11.1" customHeight="1" x14ac:dyDescent="0.25">
      <c r="A59" s="117"/>
      <c r="B59" s="57" t="s">
        <v>274</v>
      </c>
      <c r="C59" s="52" t="s">
        <v>17</v>
      </c>
      <c r="D59" s="161">
        <v>1</v>
      </c>
      <c r="E59" s="161"/>
      <c r="F59" s="156"/>
      <c r="G59" s="119">
        <f t="shared" si="3"/>
        <v>0</v>
      </c>
      <c r="H59" s="49"/>
      <c r="I59" s="15"/>
    </row>
    <row r="60" spans="1:10" s="3" customFormat="1" ht="121.5" x14ac:dyDescent="0.25">
      <c r="A60" s="118" t="s">
        <v>160</v>
      </c>
      <c r="B60" s="97" t="s">
        <v>161</v>
      </c>
      <c r="C60" s="98"/>
      <c r="D60" s="161"/>
      <c r="E60" s="161"/>
      <c r="F60" s="156"/>
      <c r="G60" s="119">
        <f t="shared" si="3"/>
        <v>0</v>
      </c>
      <c r="H60" s="58"/>
      <c r="I60" s="15"/>
    </row>
    <row r="61" spans="1:10" s="3" customFormat="1" ht="13.5" x14ac:dyDescent="0.25">
      <c r="A61" s="118"/>
      <c r="B61" s="97" t="s">
        <v>267</v>
      </c>
      <c r="C61" s="98" t="s">
        <v>52</v>
      </c>
      <c r="D61" s="161">
        <v>4.5</v>
      </c>
      <c r="E61" s="161"/>
      <c r="F61" s="156"/>
      <c r="G61" s="119">
        <f t="shared" si="3"/>
        <v>0</v>
      </c>
      <c r="H61" s="58"/>
      <c r="I61" s="15"/>
    </row>
    <row r="62" spans="1:10" s="3" customFormat="1" ht="11.1" customHeight="1" x14ac:dyDescent="0.25">
      <c r="A62" s="117"/>
      <c r="B62" s="57"/>
      <c r="C62" s="52"/>
      <c r="D62" s="161"/>
      <c r="E62" s="161"/>
      <c r="F62" s="157" t="s">
        <v>53</v>
      </c>
      <c r="G62" s="120">
        <f>SUM(G48:G61)</f>
        <v>0</v>
      </c>
      <c r="H62" s="56"/>
      <c r="I62" s="15"/>
    </row>
    <row r="63" spans="1:10" s="3" customFormat="1" ht="11.1" customHeight="1" x14ac:dyDescent="0.25">
      <c r="A63" s="118"/>
      <c r="B63" s="51" t="s">
        <v>59</v>
      </c>
      <c r="C63" s="52"/>
      <c r="D63" s="161"/>
      <c r="E63" s="161"/>
      <c r="F63" s="155"/>
      <c r="G63" s="119"/>
      <c r="H63" s="49"/>
      <c r="I63" s="15"/>
    </row>
    <row r="64" spans="1:10" s="3" customFormat="1" ht="21.95" customHeight="1" x14ac:dyDescent="0.25">
      <c r="A64" s="117" t="s">
        <v>60</v>
      </c>
      <c r="B64" s="57" t="s">
        <v>162</v>
      </c>
      <c r="C64" s="52"/>
      <c r="D64" s="161"/>
      <c r="E64" s="161"/>
      <c r="F64" s="155"/>
      <c r="G64" s="119"/>
      <c r="H64" s="49"/>
      <c r="I64" s="15"/>
    </row>
    <row r="65" spans="1:9" s="3" customFormat="1" ht="11.1" customHeight="1" x14ac:dyDescent="0.25">
      <c r="A65" s="117" t="s">
        <v>66</v>
      </c>
      <c r="B65" s="57" t="s">
        <v>67</v>
      </c>
      <c r="C65" s="52" t="s">
        <v>20</v>
      </c>
      <c r="D65" s="161">
        <v>0.42</v>
      </c>
      <c r="E65" s="161"/>
      <c r="F65" s="156"/>
      <c r="G65" s="119">
        <f t="shared" ref="G65:G91" si="4">ROUND(D65*F65,2)</f>
        <v>0</v>
      </c>
      <c r="H65" s="49"/>
      <c r="I65" s="49"/>
    </row>
    <row r="66" spans="1:9" s="3" customFormat="1" ht="21.95" customHeight="1" x14ac:dyDescent="0.25">
      <c r="A66" s="117" t="s">
        <v>63</v>
      </c>
      <c r="B66" s="57" t="s">
        <v>69</v>
      </c>
      <c r="C66" s="52"/>
      <c r="D66" s="161"/>
      <c r="E66" s="161"/>
      <c r="F66" s="156"/>
      <c r="G66" s="119"/>
      <c r="H66" s="49"/>
      <c r="I66" s="49"/>
    </row>
    <row r="67" spans="1:9" s="3" customFormat="1" ht="27.75" customHeight="1" x14ac:dyDescent="0.25">
      <c r="A67" s="117" t="s">
        <v>81</v>
      </c>
      <c r="B67" s="57" t="s">
        <v>82</v>
      </c>
      <c r="C67" s="52" t="s">
        <v>64</v>
      </c>
      <c r="D67" s="161">
        <v>28.07</v>
      </c>
      <c r="E67" s="161"/>
      <c r="F67" s="156"/>
      <c r="G67" s="119">
        <f t="shared" si="4"/>
        <v>0</v>
      </c>
      <c r="H67" s="49"/>
      <c r="I67" s="49"/>
    </row>
    <row r="68" spans="1:9" s="3" customFormat="1" ht="40.5" customHeight="1" x14ac:dyDescent="0.25">
      <c r="A68" s="117" t="s">
        <v>163</v>
      </c>
      <c r="B68" s="57" t="s">
        <v>102</v>
      </c>
      <c r="C68" s="52"/>
      <c r="D68" s="161"/>
      <c r="E68" s="161"/>
      <c r="F68" s="156"/>
      <c r="G68" s="119"/>
      <c r="H68" s="49"/>
      <c r="I68" s="49"/>
    </row>
    <row r="69" spans="1:9" s="3" customFormat="1" ht="15" customHeight="1" x14ac:dyDescent="0.25">
      <c r="A69" s="117" t="s">
        <v>164</v>
      </c>
      <c r="B69" s="57" t="s">
        <v>165</v>
      </c>
      <c r="C69" s="52" t="s">
        <v>17</v>
      </c>
      <c r="D69" s="161">
        <v>72</v>
      </c>
      <c r="E69" s="161"/>
      <c r="F69" s="156"/>
      <c r="G69" s="119">
        <f t="shared" si="4"/>
        <v>0</v>
      </c>
      <c r="H69" s="49"/>
      <c r="I69" s="49"/>
    </row>
    <row r="70" spans="1:9" s="3" customFormat="1" ht="11.1" customHeight="1" x14ac:dyDescent="0.25">
      <c r="A70" s="117" t="s">
        <v>166</v>
      </c>
      <c r="B70" s="57" t="s">
        <v>73</v>
      </c>
      <c r="C70" s="52"/>
      <c r="D70" s="161"/>
      <c r="E70" s="161"/>
      <c r="F70" s="156"/>
      <c r="G70" s="119"/>
      <c r="H70" s="49"/>
      <c r="I70" s="49"/>
    </row>
    <row r="71" spans="1:9" s="3" customFormat="1" ht="11.1" customHeight="1" x14ac:dyDescent="0.25">
      <c r="A71" s="117"/>
      <c r="B71" s="57" t="s">
        <v>275</v>
      </c>
      <c r="C71" s="52" t="s">
        <v>167</v>
      </c>
      <c r="D71" s="161">
        <v>15</v>
      </c>
      <c r="E71" s="161"/>
      <c r="F71" s="156"/>
      <c r="G71" s="119">
        <f t="shared" si="4"/>
        <v>0</v>
      </c>
      <c r="H71" s="49"/>
      <c r="I71" s="49"/>
    </row>
    <row r="72" spans="1:9" s="3" customFormat="1" ht="32.25" customHeight="1" x14ac:dyDescent="0.25">
      <c r="A72" s="117" t="s">
        <v>168</v>
      </c>
      <c r="B72" s="57" t="s">
        <v>169</v>
      </c>
      <c r="C72" s="52"/>
      <c r="D72" s="161"/>
      <c r="E72" s="161"/>
      <c r="F72" s="156"/>
      <c r="G72" s="119"/>
      <c r="H72" s="49"/>
      <c r="I72" s="49"/>
    </row>
    <row r="73" spans="1:9" s="3" customFormat="1" ht="11.1" customHeight="1" x14ac:dyDescent="0.25">
      <c r="A73" s="117"/>
      <c r="B73" s="57" t="s">
        <v>274</v>
      </c>
      <c r="C73" s="52" t="s">
        <v>17</v>
      </c>
      <c r="D73" s="161">
        <v>1</v>
      </c>
      <c r="E73" s="161"/>
      <c r="F73" s="156"/>
      <c r="G73" s="119">
        <f t="shared" si="4"/>
        <v>0</v>
      </c>
      <c r="H73" s="49"/>
      <c r="I73" s="49"/>
    </row>
    <row r="74" spans="1:9" s="3" customFormat="1" ht="11.1" customHeight="1" x14ac:dyDescent="0.25">
      <c r="A74" s="117" t="s">
        <v>74</v>
      </c>
      <c r="B74" s="57" t="s">
        <v>170</v>
      </c>
      <c r="C74" s="52"/>
      <c r="D74" s="161"/>
      <c r="E74" s="161"/>
      <c r="F74" s="156"/>
      <c r="G74" s="119"/>
      <c r="H74" s="49"/>
      <c r="I74" s="49"/>
    </row>
    <row r="75" spans="1:9" s="3" customFormat="1" ht="11.1" customHeight="1" x14ac:dyDescent="0.25">
      <c r="A75" s="117" t="s">
        <v>171</v>
      </c>
      <c r="B75" s="57" t="s">
        <v>172</v>
      </c>
      <c r="C75" s="52" t="s">
        <v>17</v>
      </c>
      <c r="D75" s="161">
        <v>1</v>
      </c>
      <c r="E75" s="161"/>
      <c r="F75" s="156"/>
      <c r="G75" s="119">
        <f t="shared" si="4"/>
        <v>0</v>
      </c>
      <c r="H75" s="49"/>
      <c r="I75" s="49"/>
    </row>
    <row r="76" spans="1:9" s="3" customFormat="1" ht="29.25" customHeight="1" x14ac:dyDescent="0.25">
      <c r="A76" s="117" t="s">
        <v>173</v>
      </c>
      <c r="B76" s="57" t="s">
        <v>174</v>
      </c>
      <c r="C76" s="52"/>
      <c r="D76" s="161"/>
      <c r="E76" s="161"/>
      <c r="F76" s="156"/>
      <c r="G76" s="119"/>
      <c r="H76" s="49"/>
      <c r="I76" s="49"/>
    </row>
    <row r="77" spans="1:9" s="3" customFormat="1" ht="11.1" customHeight="1" x14ac:dyDescent="0.25">
      <c r="A77" s="117"/>
      <c r="B77" s="57" t="s">
        <v>274</v>
      </c>
      <c r="C77" s="52" t="s">
        <v>17</v>
      </c>
      <c r="D77" s="161">
        <v>2</v>
      </c>
      <c r="E77" s="161"/>
      <c r="F77" s="159"/>
      <c r="G77" s="119">
        <f t="shared" si="4"/>
        <v>0</v>
      </c>
      <c r="H77" s="49"/>
      <c r="I77" s="49"/>
    </row>
    <row r="78" spans="1:9" s="3" customFormat="1" ht="24.75" customHeight="1" x14ac:dyDescent="0.25">
      <c r="A78" s="117" t="s">
        <v>175</v>
      </c>
      <c r="B78" s="57" t="s">
        <v>75</v>
      </c>
      <c r="C78" s="52"/>
      <c r="D78" s="161"/>
      <c r="E78" s="161"/>
      <c r="F78" s="159"/>
      <c r="G78" s="119"/>
      <c r="H78" s="49"/>
      <c r="I78" s="49"/>
    </row>
    <row r="79" spans="1:9" s="3" customFormat="1" ht="11.1" customHeight="1" x14ac:dyDescent="0.25">
      <c r="A79" s="117"/>
      <c r="B79" s="57" t="s">
        <v>274</v>
      </c>
      <c r="C79" s="52" t="s">
        <v>17</v>
      </c>
      <c r="D79" s="161">
        <v>1</v>
      </c>
      <c r="E79" s="161"/>
      <c r="F79" s="159"/>
      <c r="G79" s="119">
        <f t="shared" si="4"/>
        <v>0</v>
      </c>
      <c r="H79" s="49"/>
      <c r="I79" s="49"/>
    </row>
    <row r="80" spans="1:9" s="3" customFormat="1" ht="39" customHeight="1" x14ac:dyDescent="0.25">
      <c r="A80" s="118" t="s">
        <v>176</v>
      </c>
      <c r="B80" s="97" t="s">
        <v>177</v>
      </c>
      <c r="C80" s="98"/>
      <c r="D80" s="161"/>
      <c r="E80" s="161"/>
      <c r="F80" s="159"/>
      <c r="G80" s="119"/>
      <c r="H80" s="58"/>
      <c r="I80" s="49"/>
    </row>
    <row r="81" spans="1:9" s="3" customFormat="1" ht="11.1" customHeight="1" x14ac:dyDescent="0.25">
      <c r="A81" s="118"/>
      <c r="B81" s="97" t="s">
        <v>268</v>
      </c>
      <c r="C81" s="98" t="s">
        <v>17</v>
      </c>
      <c r="D81" s="161">
        <v>1</v>
      </c>
      <c r="E81" s="161"/>
      <c r="F81" s="156"/>
      <c r="G81" s="119">
        <f t="shared" si="4"/>
        <v>0</v>
      </c>
      <c r="H81" s="58"/>
      <c r="I81" s="49"/>
    </row>
    <row r="82" spans="1:9" s="3" customFormat="1" ht="38.25" customHeight="1" x14ac:dyDescent="0.25">
      <c r="A82" s="118" t="s">
        <v>76</v>
      </c>
      <c r="B82" s="97" t="s">
        <v>178</v>
      </c>
      <c r="C82" s="98" t="s">
        <v>17</v>
      </c>
      <c r="D82" s="161">
        <v>1</v>
      </c>
      <c r="E82" s="161"/>
      <c r="F82" s="156"/>
      <c r="G82" s="119">
        <f t="shared" si="4"/>
        <v>0</v>
      </c>
      <c r="H82" s="58"/>
      <c r="I82" s="49"/>
    </row>
    <row r="83" spans="1:9" s="3" customFormat="1" ht="30" customHeight="1" x14ac:dyDescent="0.25">
      <c r="A83" s="118" t="s">
        <v>179</v>
      </c>
      <c r="B83" s="97" t="s">
        <v>180</v>
      </c>
      <c r="C83" s="98"/>
      <c r="D83" s="161"/>
      <c r="E83" s="161"/>
      <c r="F83" s="156"/>
      <c r="G83" s="119"/>
      <c r="H83" s="58"/>
      <c r="I83" s="49"/>
    </row>
    <row r="84" spans="1:9" s="3" customFormat="1" ht="11.1" customHeight="1" x14ac:dyDescent="0.25">
      <c r="A84" s="118"/>
      <c r="B84" s="97" t="s">
        <v>269</v>
      </c>
      <c r="C84" s="98" t="s">
        <v>17</v>
      </c>
      <c r="D84" s="161">
        <v>1</v>
      </c>
      <c r="E84" s="161"/>
      <c r="F84" s="156"/>
      <c r="G84" s="119">
        <f t="shared" si="4"/>
        <v>0</v>
      </c>
      <c r="H84" s="58"/>
      <c r="I84" s="49"/>
    </row>
    <row r="85" spans="1:9" s="3" customFormat="1" ht="11.1" customHeight="1" x14ac:dyDescent="0.25">
      <c r="A85" s="118"/>
      <c r="B85" s="97" t="s">
        <v>270</v>
      </c>
      <c r="C85" s="98" t="s">
        <v>17</v>
      </c>
      <c r="D85" s="161">
        <v>2</v>
      </c>
      <c r="E85" s="161"/>
      <c r="F85" s="156"/>
      <c r="G85" s="119">
        <f t="shared" si="4"/>
        <v>0</v>
      </c>
      <c r="H85" s="58"/>
      <c r="I85" s="49"/>
    </row>
    <row r="86" spans="1:9" s="3" customFormat="1" ht="11.1" customHeight="1" x14ac:dyDescent="0.25">
      <c r="A86" s="118"/>
      <c r="B86" s="97" t="s">
        <v>271</v>
      </c>
      <c r="C86" s="98" t="s">
        <v>17</v>
      </c>
      <c r="D86" s="161">
        <v>1</v>
      </c>
      <c r="E86" s="161"/>
      <c r="F86" s="156"/>
      <c r="G86" s="119">
        <f t="shared" si="4"/>
        <v>0</v>
      </c>
      <c r="H86" s="58"/>
      <c r="I86" s="49"/>
    </row>
    <row r="87" spans="1:9" s="3" customFormat="1" ht="2.1" customHeight="1" x14ac:dyDescent="0.25">
      <c r="A87" s="126"/>
      <c r="B87" s="114"/>
      <c r="C87" s="114"/>
      <c r="D87" s="158"/>
      <c r="E87" s="158"/>
      <c r="F87" s="158"/>
      <c r="G87" s="119">
        <f t="shared" si="4"/>
        <v>0</v>
      </c>
      <c r="H87" s="58"/>
      <c r="I87" s="15"/>
    </row>
    <row r="88" spans="1:9" s="3" customFormat="1" ht="11.1" customHeight="1" x14ac:dyDescent="0.25">
      <c r="A88" s="118"/>
      <c r="B88" s="97" t="s">
        <v>272</v>
      </c>
      <c r="C88" s="98" t="s">
        <v>17</v>
      </c>
      <c r="D88" s="161">
        <v>1</v>
      </c>
      <c r="E88" s="161"/>
      <c r="F88" s="156"/>
      <c r="G88" s="119">
        <f t="shared" si="4"/>
        <v>0</v>
      </c>
      <c r="H88" s="58"/>
      <c r="I88" s="49"/>
    </row>
    <row r="89" spans="1:9" s="3" customFormat="1" ht="40.5" x14ac:dyDescent="0.25">
      <c r="A89" s="118"/>
      <c r="B89" s="97" t="s">
        <v>273</v>
      </c>
      <c r="C89" s="98" t="s">
        <v>17</v>
      </c>
      <c r="D89" s="161">
        <v>30</v>
      </c>
      <c r="E89" s="161"/>
      <c r="F89" s="156"/>
      <c r="G89" s="119">
        <f t="shared" si="4"/>
        <v>0</v>
      </c>
      <c r="H89" s="49"/>
      <c r="I89" s="49"/>
    </row>
    <row r="90" spans="1:9" s="3" customFormat="1" ht="40.5" x14ac:dyDescent="0.25">
      <c r="A90" s="118" t="s">
        <v>181</v>
      </c>
      <c r="B90" s="97" t="s">
        <v>182</v>
      </c>
      <c r="C90" s="98"/>
      <c r="D90" s="161"/>
      <c r="E90" s="161"/>
      <c r="F90" s="156"/>
      <c r="G90" s="119"/>
      <c r="H90" s="49"/>
      <c r="I90" s="49"/>
    </row>
    <row r="91" spans="1:9" s="3" customFormat="1" ht="21.95" customHeight="1" x14ac:dyDescent="0.25">
      <c r="A91" s="118"/>
      <c r="B91" s="97" t="s">
        <v>276</v>
      </c>
      <c r="C91" s="98" t="s">
        <v>52</v>
      </c>
      <c r="D91" s="161">
        <v>4.5</v>
      </c>
      <c r="E91" s="161"/>
      <c r="F91" s="156"/>
      <c r="G91" s="119">
        <f t="shared" si="4"/>
        <v>0</v>
      </c>
      <c r="H91" s="49"/>
      <c r="I91" s="49"/>
    </row>
    <row r="92" spans="1:9" s="3" customFormat="1" ht="11.1" customHeight="1" x14ac:dyDescent="0.25">
      <c r="A92" s="117"/>
      <c r="B92" s="57"/>
      <c r="C92" s="52"/>
      <c r="D92" s="161"/>
      <c r="E92" s="161"/>
      <c r="F92" s="157" t="s">
        <v>59</v>
      </c>
      <c r="G92" s="120">
        <f>SUM(G64:G91)</f>
        <v>0</v>
      </c>
      <c r="H92" s="56"/>
      <c r="I92" s="15"/>
    </row>
    <row r="93" spans="1:9" s="3" customFormat="1" ht="11.1" customHeight="1" x14ac:dyDescent="0.25">
      <c r="A93" s="115">
        <v>6</v>
      </c>
      <c r="B93" s="53" t="s">
        <v>77</v>
      </c>
      <c r="C93" s="52"/>
      <c r="D93" s="161"/>
      <c r="E93" s="161"/>
      <c r="F93" s="155"/>
      <c r="G93" s="119"/>
      <c r="H93" s="49"/>
      <c r="I93" s="15"/>
    </row>
    <row r="94" spans="1:9" s="3" customFormat="1" ht="11.1" customHeight="1" x14ac:dyDescent="0.25">
      <c r="A94" s="117"/>
      <c r="B94" s="53" t="s">
        <v>53</v>
      </c>
      <c r="C94" s="52"/>
      <c r="D94" s="161"/>
      <c r="E94" s="161"/>
      <c r="F94" s="155"/>
      <c r="G94" s="119"/>
      <c r="H94" s="49"/>
      <c r="I94" s="15"/>
    </row>
    <row r="95" spans="1:9" s="3" customFormat="1" ht="11.1" customHeight="1" x14ac:dyDescent="0.25">
      <c r="A95" s="117" t="s">
        <v>54</v>
      </c>
      <c r="B95" s="57" t="s">
        <v>55</v>
      </c>
      <c r="C95" s="52" t="s">
        <v>19</v>
      </c>
      <c r="D95" s="161">
        <v>10.24</v>
      </c>
      <c r="E95" s="161"/>
      <c r="F95" s="156"/>
      <c r="G95" s="119">
        <f t="shared" ref="G95:G110" si="5">ROUND(D95*F95,2)</f>
        <v>0</v>
      </c>
      <c r="H95" s="49"/>
      <c r="I95" s="15"/>
    </row>
    <row r="96" spans="1:9" s="3" customFormat="1" ht="21.95" customHeight="1" x14ac:dyDescent="0.25">
      <c r="A96" s="117" t="s">
        <v>88</v>
      </c>
      <c r="B96" s="57" t="s">
        <v>150</v>
      </c>
      <c r="C96" s="52"/>
      <c r="D96" s="161"/>
      <c r="E96" s="161"/>
      <c r="F96" s="156"/>
      <c r="G96" s="119"/>
      <c r="H96" s="49"/>
      <c r="I96" s="15"/>
    </row>
    <row r="97" spans="1:9" s="3" customFormat="1" ht="21.95" customHeight="1" x14ac:dyDescent="0.25">
      <c r="A97" s="117" t="s">
        <v>89</v>
      </c>
      <c r="B97" s="57" t="s">
        <v>78</v>
      </c>
      <c r="C97" s="52" t="s">
        <v>20</v>
      </c>
      <c r="D97" s="161">
        <v>3.14</v>
      </c>
      <c r="E97" s="161"/>
      <c r="F97" s="156"/>
      <c r="G97" s="119">
        <f t="shared" si="5"/>
        <v>0</v>
      </c>
      <c r="H97" s="49"/>
      <c r="I97" s="15"/>
    </row>
    <row r="98" spans="1:9" s="3" customFormat="1" ht="21.95" customHeight="1" x14ac:dyDescent="0.25">
      <c r="A98" s="117" t="s">
        <v>91</v>
      </c>
      <c r="B98" s="57" t="s">
        <v>183</v>
      </c>
      <c r="C98" s="52"/>
      <c r="D98" s="161"/>
      <c r="E98" s="161"/>
      <c r="F98" s="156"/>
      <c r="G98" s="119"/>
      <c r="H98" s="49"/>
      <c r="I98" s="15"/>
    </row>
    <row r="99" spans="1:9" s="3" customFormat="1" ht="11.1" customHeight="1" x14ac:dyDescent="0.25">
      <c r="A99" s="117" t="s">
        <v>92</v>
      </c>
      <c r="B99" s="57" t="s">
        <v>93</v>
      </c>
      <c r="C99" s="52" t="s">
        <v>20</v>
      </c>
      <c r="D99" s="161">
        <v>0.42</v>
      </c>
      <c r="E99" s="161"/>
      <c r="F99" s="156"/>
      <c r="G99" s="119">
        <f t="shared" si="5"/>
        <v>0</v>
      </c>
      <c r="H99" s="49"/>
      <c r="I99" s="15"/>
    </row>
    <row r="100" spans="1:9" s="3" customFormat="1" ht="21.95" customHeight="1" x14ac:dyDescent="0.25">
      <c r="A100" s="117" t="s">
        <v>68</v>
      </c>
      <c r="B100" s="57" t="s">
        <v>184</v>
      </c>
      <c r="C100" s="52"/>
      <c r="D100" s="161"/>
      <c r="E100" s="161"/>
      <c r="F100" s="156"/>
      <c r="G100" s="119"/>
      <c r="H100" s="49"/>
      <c r="I100" s="15"/>
    </row>
    <row r="101" spans="1:9" s="3" customFormat="1" ht="21.95" customHeight="1" x14ac:dyDescent="0.25">
      <c r="A101" s="117" t="s">
        <v>185</v>
      </c>
      <c r="B101" s="57" t="s">
        <v>186</v>
      </c>
      <c r="C101" s="52" t="s">
        <v>20</v>
      </c>
      <c r="D101" s="161">
        <v>1.62</v>
      </c>
      <c r="E101" s="161"/>
      <c r="F101" s="156"/>
      <c r="G101" s="119">
        <f t="shared" si="5"/>
        <v>0</v>
      </c>
      <c r="H101" s="49"/>
      <c r="I101" s="15"/>
    </row>
    <row r="102" spans="1:9" s="3" customFormat="1" ht="21.95" customHeight="1" x14ac:dyDescent="0.25">
      <c r="A102" s="117" t="s">
        <v>94</v>
      </c>
      <c r="B102" s="57" t="s">
        <v>187</v>
      </c>
      <c r="C102" s="52"/>
      <c r="D102" s="161"/>
      <c r="E102" s="161"/>
      <c r="F102" s="156"/>
      <c r="G102" s="119"/>
      <c r="H102" s="49"/>
      <c r="I102" s="15"/>
    </row>
    <row r="103" spans="1:9" s="3" customFormat="1" ht="21.95" customHeight="1" x14ac:dyDescent="0.25">
      <c r="A103" s="117" t="s">
        <v>95</v>
      </c>
      <c r="B103" s="57" t="s">
        <v>188</v>
      </c>
      <c r="C103" s="52" t="s">
        <v>20</v>
      </c>
      <c r="D103" s="161">
        <v>0.91</v>
      </c>
      <c r="E103" s="161"/>
      <c r="F103" s="156"/>
      <c r="G103" s="119">
        <f t="shared" si="5"/>
        <v>0</v>
      </c>
      <c r="H103" s="49"/>
      <c r="I103" s="15"/>
    </row>
    <row r="104" spans="1:9" s="3" customFormat="1" ht="21.95" customHeight="1" x14ac:dyDescent="0.25">
      <c r="A104" s="117" t="s">
        <v>189</v>
      </c>
      <c r="B104" s="57" t="s">
        <v>190</v>
      </c>
      <c r="C104" s="52"/>
      <c r="D104" s="161"/>
      <c r="E104" s="161"/>
      <c r="F104" s="156"/>
      <c r="G104" s="119"/>
      <c r="H104" s="49"/>
      <c r="I104" s="15"/>
    </row>
    <row r="105" spans="1:9" s="3" customFormat="1" ht="11.1" customHeight="1" x14ac:dyDescent="0.25">
      <c r="A105" s="117" t="s">
        <v>191</v>
      </c>
      <c r="B105" s="57" t="s">
        <v>192</v>
      </c>
      <c r="C105" s="52" t="s">
        <v>19</v>
      </c>
      <c r="D105" s="161">
        <v>9.9</v>
      </c>
      <c r="E105" s="161"/>
      <c r="F105" s="156"/>
      <c r="G105" s="119">
        <f t="shared" si="5"/>
        <v>0</v>
      </c>
      <c r="H105" s="49"/>
      <c r="I105" s="15"/>
    </row>
    <row r="106" spans="1:9" s="3" customFormat="1" ht="21.95" customHeight="1" x14ac:dyDescent="0.25">
      <c r="A106" s="117" t="s">
        <v>56</v>
      </c>
      <c r="B106" s="57" t="s">
        <v>151</v>
      </c>
      <c r="C106" s="52"/>
      <c r="D106" s="161"/>
      <c r="E106" s="161"/>
      <c r="F106" s="156"/>
      <c r="G106" s="119"/>
      <c r="H106" s="49"/>
      <c r="I106" s="15"/>
    </row>
    <row r="107" spans="1:9" s="3" customFormat="1" ht="11.1" customHeight="1" x14ac:dyDescent="0.25">
      <c r="A107" s="117" t="s">
        <v>65</v>
      </c>
      <c r="B107" s="57" t="s">
        <v>193</v>
      </c>
      <c r="C107" s="52" t="s">
        <v>19</v>
      </c>
      <c r="D107" s="161">
        <v>2.64</v>
      </c>
      <c r="E107" s="161"/>
      <c r="F107" s="156"/>
      <c r="G107" s="119">
        <f t="shared" si="5"/>
        <v>0</v>
      </c>
      <c r="H107" s="49"/>
      <c r="I107" s="15"/>
    </row>
    <row r="108" spans="1:9" s="3" customFormat="1" ht="21.95" customHeight="1" x14ac:dyDescent="0.25">
      <c r="A108" s="117" t="s">
        <v>57</v>
      </c>
      <c r="B108" s="57" t="s">
        <v>194</v>
      </c>
      <c r="C108" s="52" t="s">
        <v>19</v>
      </c>
      <c r="D108" s="161">
        <v>6.63</v>
      </c>
      <c r="E108" s="161"/>
      <c r="F108" s="156"/>
      <c r="G108" s="119">
        <f t="shared" si="5"/>
        <v>0</v>
      </c>
      <c r="H108" s="49"/>
      <c r="I108" s="15"/>
    </row>
    <row r="109" spans="1:9" s="3" customFormat="1" ht="21.95" customHeight="1" x14ac:dyDescent="0.25">
      <c r="A109" s="117" t="s">
        <v>195</v>
      </c>
      <c r="B109" s="57" t="s">
        <v>196</v>
      </c>
      <c r="C109" s="52"/>
      <c r="D109" s="161"/>
      <c r="E109" s="161"/>
      <c r="F109" s="156"/>
      <c r="G109" s="119"/>
      <c r="H109" s="49"/>
      <c r="I109" s="15"/>
    </row>
    <row r="110" spans="1:9" s="3" customFormat="1" ht="21.95" customHeight="1" x14ac:dyDescent="0.25">
      <c r="A110" s="117" t="s">
        <v>197</v>
      </c>
      <c r="B110" s="57" t="s">
        <v>80</v>
      </c>
      <c r="C110" s="52" t="s">
        <v>19</v>
      </c>
      <c r="D110" s="161">
        <v>5.25</v>
      </c>
      <c r="E110" s="161"/>
      <c r="F110" s="156"/>
      <c r="G110" s="119">
        <f t="shared" si="5"/>
        <v>0</v>
      </c>
      <c r="H110" s="49"/>
      <c r="I110" s="15"/>
    </row>
    <row r="111" spans="1:9" s="3" customFormat="1" ht="11.1" customHeight="1" x14ac:dyDescent="0.25">
      <c r="A111" s="117"/>
      <c r="B111" s="57"/>
      <c r="C111" s="52"/>
      <c r="D111" s="161"/>
      <c r="E111" s="161"/>
      <c r="F111" s="157" t="s">
        <v>53</v>
      </c>
      <c r="G111" s="120">
        <f>SUM(G95:G110)</f>
        <v>0</v>
      </c>
      <c r="H111" s="56"/>
      <c r="I111" s="15"/>
    </row>
    <row r="112" spans="1:9" s="3" customFormat="1" ht="11.1" customHeight="1" x14ac:dyDescent="0.25">
      <c r="A112" s="117"/>
      <c r="B112" s="51" t="s">
        <v>59</v>
      </c>
      <c r="C112" s="52"/>
      <c r="D112" s="161"/>
      <c r="E112" s="161"/>
      <c r="F112" s="155"/>
      <c r="G112" s="119"/>
      <c r="H112" s="49"/>
      <c r="I112" s="15"/>
    </row>
    <row r="113" spans="1:9" s="3" customFormat="1" ht="21.95" customHeight="1" x14ac:dyDescent="0.25">
      <c r="A113" s="117" t="s">
        <v>60</v>
      </c>
      <c r="B113" s="57" t="s">
        <v>162</v>
      </c>
      <c r="C113" s="52"/>
      <c r="D113" s="161"/>
      <c r="E113" s="161"/>
      <c r="F113" s="155"/>
      <c r="G113" s="119"/>
      <c r="H113" s="49"/>
      <c r="I113" s="15"/>
    </row>
    <row r="114" spans="1:9" s="3" customFormat="1" ht="11.1" customHeight="1" x14ac:dyDescent="0.25">
      <c r="A114" s="117" t="s">
        <v>61</v>
      </c>
      <c r="B114" s="57" t="s">
        <v>62</v>
      </c>
      <c r="C114" s="52" t="s">
        <v>20</v>
      </c>
      <c r="D114" s="161">
        <v>0.77</v>
      </c>
      <c r="E114" s="161"/>
      <c r="F114" s="156"/>
      <c r="G114" s="119">
        <f t="shared" ref="G114:G135" si="6">ROUND(D114*F114,2)</f>
        <v>0</v>
      </c>
      <c r="H114" s="49"/>
      <c r="I114" s="49"/>
    </row>
    <row r="115" spans="1:9" s="3" customFormat="1" ht="21.95" customHeight="1" x14ac:dyDescent="0.25">
      <c r="A115" s="117" t="s">
        <v>63</v>
      </c>
      <c r="B115" s="57" t="s">
        <v>69</v>
      </c>
      <c r="C115" s="52"/>
      <c r="D115" s="161"/>
      <c r="E115" s="161"/>
      <c r="F115" s="156"/>
      <c r="G115" s="119"/>
      <c r="H115" s="49"/>
      <c r="I115" s="49"/>
    </row>
    <row r="116" spans="1:9" s="3" customFormat="1" ht="21.95" customHeight="1" x14ac:dyDescent="0.25">
      <c r="A116" s="117" t="s">
        <v>81</v>
      </c>
      <c r="B116" s="57" t="s">
        <v>82</v>
      </c>
      <c r="C116" s="52" t="s">
        <v>64</v>
      </c>
      <c r="D116" s="161">
        <v>33.450000000000003</v>
      </c>
      <c r="E116" s="161"/>
      <c r="F116" s="156"/>
      <c r="G116" s="119">
        <f t="shared" si="6"/>
        <v>0</v>
      </c>
      <c r="H116" s="49"/>
      <c r="I116" s="49"/>
    </row>
    <row r="117" spans="1:9" s="3" customFormat="1" ht="11.1" customHeight="1" x14ac:dyDescent="0.25">
      <c r="A117" s="118" t="s">
        <v>198</v>
      </c>
      <c r="B117" s="97" t="s">
        <v>199</v>
      </c>
      <c r="C117" s="98" t="s">
        <v>52</v>
      </c>
      <c r="D117" s="161">
        <v>13.2</v>
      </c>
      <c r="E117" s="161"/>
      <c r="F117" s="156"/>
      <c r="G117" s="119">
        <f t="shared" si="6"/>
        <v>0</v>
      </c>
      <c r="H117" s="49"/>
      <c r="I117" s="49"/>
    </row>
    <row r="118" spans="1:9" s="3" customFormat="1" ht="2.1" customHeight="1" x14ac:dyDescent="0.25">
      <c r="A118" s="126"/>
      <c r="B118" s="114"/>
      <c r="C118" s="114"/>
      <c r="D118" s="158"/>
      <c r="E118" s="158"/>
      <c r="F118" s="158"/>
      <c r="G118" s="119">
        <f t="shared" si="6"/>
        <v>0</v>
      </c>
      <c r="H118" s="49"/>
      <c r="I118" s="15"/>
    </row>
    <row r="119" spans="1:9" s="3" customFormat="1" ht="77.099999999999994" customHeight="1" x14ac:dyDescent="0.25">
      <c r="A119" s="117" t="s">
        <v>200</v>
      </c>
      <c r="B119" s="57" t="s">
        <v>201</v>
      </c>
      <c r="C119" s="52"/>
      <c r="D119" s="161"/>
      <c r="E119" s="161"/>
      <c r="F119" s="156"/>
      <c r="G119" s="119"/>
      <c r="H119" s="49"/>
      <c r="I119" s="15"/>
    </row>
    <row r="120" spans="1:9" s="3" customFormat="1" ht="21.95" customHeight="1" x14ac:dyDescent="0.25">
      <c r="A120" s="117" t="s">
        <v>202</v>
      </c>
      <c r="B120" s="57" t="s">
        <v>79</v>
      </c>
      <c r="C120" s="52" t="s">
        <v>19</v>
      </c>
      <c r="D120" s="161">
        <v>26.4</v>
      </c>
      <c r="E120" s="161"/>
      <c r="F120" s="156"/>
      <c r="G120" s="119">
        <f t="shared" si="6"/>
        <v>0</v>
      </c>
      <c r="H120" s="49"/>
      <c r="I120" s="49"/>
    </row>
    <row r="121" spans="1:9" s="3" customFormat="1" ht="81" x14ac:dyDescent="0.25">
      <c r="A121" s="117" t="s">
        <v>203</v>
      </c>
      <c r="B121" s="57" t="s">
        <v>204</v>
      </c>
      <c r="C121" s="52"/>
      <c r="D121" s="161"/>
      <c r="E121" s="161"/>
      <c r="F121" s="156"/>
      <c r="G121" s="119"/>
      <c r="H121" s="49"/>
      <c r="I121" s="49"/>
    </row>
    <row r="122" spans="1:9" s="3" customFormat="1" ht="27" x14ac:dyDescent="0.25">
      <c r="A122" s="117" t="s">
        <v>205</v>
      </c>
      <c r="B122" s="57" t="s">
        <v>206</v>
      </c>
      <c r="C122" s="52" t="s">
        <v>19</v>
      </c>
      <c r="D122" s="161">
        <v>1.76</v>
      </c>
      <c r="E122" s="161"/>
      <c r="F122" s="156"/>
      <c r="G122" s="119">
        <f t="shared" si="6"/>
        <v>0</v>
      </c>
      <c r="H122" s="49"/>
      <c r="I122" s="49"/>
    </row>
    <row r="123" spans="1:9" s="3" customFormat="1" ht="81" x14ac:dyDescent="0.25">
      <c r="A123" s="117" t="s">
        <v>207</v>
      </c>
      <c r="B123" s="57" t="s">
        <v>208</v>
      </c>
      <c r="C123" s="52"/>
      <c r="D123" s="161"/>
      <c r="E123" s="161"/>
      <c r="F123" s="156"/>
      <c r="G123" s="119"/>
      <c r="H123" s="49"/>
      <c r="I123" s="49"/>
    </row>
    <row r="124" spans="1:9" s="3" customFormat="1" ht="11.1" customHeight="1" x14ac:dyDescent="0.25">
      <c r="A124" s="117" t="s">
        <v>209</v>
      </c>
      <c r="B124" s="57" t="s">
        <v>210</v>
      </c>
      <c r="C124" s="52" t="s">
        <v>19</v>
      </c>
      <c r="D124" s="161">
        <v>0.68</v>
      </c>
      <c r="E124" s="161"/>
      <c r="F124" s="156"/>
      <c r="G124" s="119">
        <f t="shared" si="6"/>
        <v>0</v>
      </c>
      <c r="H124" s="49"/>
      <c r="I124" s="49"/>
    </row>
    <row r="125" spans="1:9" s="3" customFormat="1" ht="21.95" customHeight="1" x14ac:dyDescent="0.25">
      <c r="A125" s="117" t="s">
        <v>211</v>
      </c>
      <c r="B125" s="57" t="s">
        <v>212</v>
      </c>
      <c r="C125" s="52"/>
      <c r="D125" s="161"/>
      <c r="E125" s="161"/>
      <c r="F125" s="156"/>
      <c r="G125" s="119"/>
      <c r="H125" s="49"/>
      <c r="I125" s="49"/>
    </row>
    <row r="126" spans="1:9" s="3" customFormat="1" ht="11.1" customHeight="1" x14ac:dyDescent="0.25">
      <c r="A126" s="117" t="s">
        <v>213</v>
      </c>
      <c r="B126" s="57" t="s">
        <v>214</v>
      </c>
      <c r="C126" s="52" t="s">
        <v>19</v>
      </c>
      <c r="D126" s="161">
        <v>0.68</v>
      </c>
      <c r="E126" s="161"/>
      <c r="F126" s="156"/>
      <c r="G126" s="119">
        <f t="shared" si="6"/>
        <v>0</v>
      </c>
      <c r="H126" s="49"/>
      <c r="I126" s="49"/>
    </row>
    <row r="127" spans="1:9" s="3" customFormat="1" ht="11.1" customHeight="1" x14ac:dyDescent="0.25">
      <c r="A127" s="117" t="s">
        <v>215</v>
      </c>
      <c r="B127" s="57" t="s">
        <v>216</v>
      </c>
      <c r="C127" s="52"/>
      <c r="D127" s="161"/>
      <c r="E127" s="161"/>
      <c r="F127" s="156"/>
      <c r="G127" s="119"/>
      <c r="H127" s="49"/>
      <c r="I127" s="49"/>
    </row>
    <row r="128" spans="1:9" s="3" customFormat="1" ht="11.1" customHeight="1" x14ac:dyDescent="0.25">
      <c r="A128" s="117" t="s">
        <v>217</v>
      </c>
      <c r="B128" s="57" t="s">
        <v>83</v>
      </c>
      <c r="C128" s="52" t="s">
        <v>19</v>
      </c>
      <c r="D128" s="161">
        <v>26.4</v>
      </c>
      <c r="E128" s="161"/>
      <c r="F128" s="156"/>
      <c r="G128" s="119">
        <f t="shared" si="6"/>
        <v>0</v>
      </c>
      <c r="H128" s="49"/>
      <c r="I128" s="49"/>
    </row>
    <row r="129" spans="1:9" s="3" customFormat="1" ht="11.1" customHeight="1" x14ac:dyDescent="0.25">
      <c r="A129" s="117" t="s">
        <v>218</v>
      </c>
      <c r="B129" s="57" t="s">
        <v>219</v>
      </c>
      <c r="C129" s="52" t="s">
        <v>19</v>
      </c>
      <c r="D129" s="161">
        <v>2.44</v>
      </c>
      <c r="E129" s="161"/>
      <c r="F129" s="156"/>
      <c r="G129" s="119">
        <f t="shared" si="6"/>
        <v>0</v>
      </c>
      <c r="H129" s="49"/>
      <c r="I129" s="49"/>
    </row>
    <row r="130" spans="1:9" s="3" customFormat="1" ht="11.1" customHeight="1" x14ac:dyDescent="0.25">
      <c r="A130" s="118" t="s">
        <v>220</v>
      </c>
      <c r="B130" s="97" t="s">
        <v>221</v>
      </c>
      <c r="C130" s="98" t="s">
        <v>84</v>
      </c>
      <c r="D130" s="161">
        <v>1</v>
      </c>
      <c r="E130" s="161"/>
      <c r="F130" s="156"/>
      <c r="G130" s="119">
        <f t="shared" si="6"/>
        <v>0</v>
      </c>
      <c r="H130" s="49"/>
      <c r="I130" s="49"/>
    </row>
    <row r="131" spans="1:9" s="3" customFormat="1" ht="21.95" customHeight="1" x14ac:dyDescent="0.25">
      <c r="A131" s="117" t="s">
        <v>222</v>
      </c>
      <c r="B131" s="57" t="s">
        <v>223</v>
      </c>
      <c r="C131" s="52"/>
      <c r="D131" s="161"/>
      <c r="E131" s="161"/>
      <c r="F131" s="156"/>
      <c r="G131" s="119"/>
      <c r="H131" s="49"/>
      <c r="I131" s="49"/>
    </row>
    <row r="132" spans="1:9" s="3" customFormat="1" ht="21.95" customHeight="1" x14ac:dyDescent="0.25">
      <c r="A132" s="117" t="s">
        <v>224</v>
      </c>
      <c r="B132" s="57" t="s">
        <v>85</v>
      </c>
      <c r="C132" s="52" t="s">
        <v>19</v>
      </c>
      <c r="D132" s="161">
        <v>8.6300000000000008</v>
      </c>
      <c r="E132" s="161"/>
      <c r="F132" s="156"/>
      <c r="G132" s="119">
        <f t="shared" si="6"/>
        <v>0</v>
      </c>
      <c r="H132" s="49"/>
      <c r="I132" s="45"/>
    </row>
    <row r="133" spans="1:9" s="3" customFormat="1" ht="11.1" customHeight="1" x14ac:dyDescent="0.25">
      <c r="A133" s="117" t="s">
        <v>225</v>
      </c>
      <c r="B133" s="57" t="s">
        <v>86</v>
      </c>
      <c r="C133" s="52"/>
      <c r="D133" s="161"/>
      <c r="E133" s="161"/>
      <c r="F133" s="156"/>
      <c r="G133" s="119"/>
      <c r="H133" s="49"/>
      <c r="I133" s="49"/>
    </row>
    <row r="134" spans="1:9" s="3" customFormat="1" ht="21.95" customHeight="1" x14ac:dyDescent="0.25">
      <c r="A134" s="117" t="s">
        <v>226</v>
      </c>
      <c r="B134" s="57" t="s">
        <v>227</v>
      </c>
      <c r="C134" s="52" t="s">
        <v>228</v>
      </c>
      <c r="D134" s="161">
        <v>3</v>
      </c>
      <c r="E134" s="161"/>
      <c r="F134" s="156"/>
      <c r="G134" s="119">
        <f t="shared" si="6"/>
        <v>0</v>
      </c>
      <c r="H134" s="45"/>
      <c r="I134" s="45"/>
    </row>
    <row r="135" spans="1:9" s="3" customFormat="1" ht="21.95" customHeight="1" x14ac:dyDescent="0.25">
      <c r="A135" s="118" t="s">
        <v>229</v>
      </c>
      <c r="B135" s="97" t="s">
        <v>230</v>
      </c>
      <c r="C135" s="98" t="s">
        <v>58</v>
      </c>
      <c r="D135" s="161">
        <v>1</v>
      </c>
      <c r="E135" s="161"/>
      <c r="F135" s="156"/>
      <c r="G135" s="119">
        <f t="shared" si="6"/>
        <v>0</v>
      </c>
      <c r="H135" s="49"/>
      <c r="I135" s="49"/>
    </row>
    <row r="136" spans="1:9" s="3" customFormat="1" ht="11.1" customHeight="1" x14ac:dyDescent="0.25">
      <c r="A136" s="118"/>
      <c r="B136" s="97"/>
      <c r="C136" s="98"/>
      <c r="D136" s="161"/>
      <c r="E136" s="161"/>
      <c r="F136" s="157" t="s">
        <v>59</v>
      </c>
      <c r="G136" s="120">
        <f>SUM(G114:G135)</f>
        <v>0</v>
      </c>
      <c r="H136" s="56"/>
      <c r="I136" s="15"/>
    </row>
    <row r="137" spans="1:9" s="3" customFormat="1" ht="11.1" customHeight="1" x14ac:dyDescent="0.25">
      <c r="A137" s="127">
        <v>7</v>
      </c>
      <c r="B137" s="107" t="s">
        <v>253</v>
      </c>
      <c r="C137" s="99"/>
      <c r="D137" s="161"/>
      <c r="E137" s="161"/>
      <c r="F137" s="160"/>
      <c r="G137" s="128"/>
      <c r="H137" s="56"/>
      <c r="I137" s="15"/>
    </row>
    <row r="138" spans="1:9" s="3" customFormat="1" ht="11.1" customHeight="1" x14ac:dyDescent="0.25">
      <c r="A138" s="127"/>
      <c r="B138" s="107" t="s">
        <v>53</v>
      </c>
      <c r="C138" s="99"/>
      <c r="D138" s="161"/>
      <c r="E138" s="161"/>
      <c r="F138" s="160"/>
      <c r="G138" s="128"/>
      <c r="H138" s="56"/>
      <c r="I138" s="15"/>
    </row>
    <row r="139" spans="1:9" s="3" customFormat="1" ht="24.95" customHeight="1" x14ac:dyDescent="0.25">
      <c r="A139" s="127" t="s">
        <v>54</v>
      </c>
      <c r="B139" s="57" t="s">
        <v>55</v>
      </c>
      <c r="C139" s="99" t="s">
        <v>19</v>
      </c>
      <c r="D139" s="161">
        <f>10*20</f>
        <v>200</v>
      </c>
      <c r="E139" s="161"/>
      <c r="F139" s="161"/>
      <c r="G139" s="119">
        <f t="shared" ref="G139:G143" si="7">ROUND(D139*F139,2)</f>
        <v>0</v>
      </c>
      <c r="H139" s="56"/>
      <c r="I139" s="15"/>
    </row>
    <row r="140" spans="1:9" s="3" customFormat="1" ht="24.95" customHeight="1" x14ac:dyDescent="0.25">
      <c r="A140" s="127" t="s">
        <v>88</v>
      </c>
      <c r="B140" s="57" t="s">
        <v>150</v>
      </c>
      <c r="C140" s="99"/>
      <c r="D140" s="161"/>
      <c r="E140" s="161"/>
      <c r="F140" s="161"/>
      <c r="G140" s="119"/>
      <c r="H140" s="56"/>
      <c r="I140" s="15"/>
    </row>
    <row r="141" spans="1:9" s="3" customFormat="1" ht="24.95" customHeight="1" x14ac:dyDescent="0.25">
      <c r="A141" s="127" t="s">
        <v>89</v>
      </c>
      <c r="B141" s="57" t="s">
        <v>78</v>
      </c>
      <c r="C141" s="99" t="s">
        <v>20</v>
      </c>
      <c r="D141" s="161">
        <f>(10+10+20+20)*0.6*0.5</f>
        <v>18</v>
      </c>
      <c r="E141" s="161"/>
      <c r="F141" s="161"/>
      <c r="G141" s="119">
        <f t="shared" si="7"/>
        <v>0</v>
      </c>
      <c r="H141" s="56"/>
      <c r="I141" s="15"/>
    </row>
    <row r="142" spans="1:9" s="3" customFormat="1" ht="24.95" customHeight="1" x14ac:dyDescent="0.25">
      <c r="A142" s="127" t="s">
        <v>56</v>
      </c>
      <c r="B142" s="57" t="s">
        <v>151</v>
      </c>
      <c r="C142" s="99"/>
      <c r="D142" s="161"/>
      <c r="E142" s="161"/>
      <c r="F142" s="161"/>
      <c r="G142" s="119"/>
      <c r="H142" s="56"/>
      <c r="I142" s="15"/>
    </row>
    <row r="143" spans="1:9" s="3" customFormat="1" ht="24.95" customHeight="1" x14ac:dyDescent="0.25">
      <c r="A143" s="127" t="s">
        <v>65</v>
      </c>
      <c r="B143" s="57" t="s">
        <v>193</v>
      </c>
      <c r="C143" s="99" t="s">
        <v>19</v>
      </c>
      <c r="D143" s="161">
        <f>(10+10+20+20)*0.2*2</f>
        <v>24</v>
      </c>
      <c r="E143" s="161"/>
      <c r="F143" s="161"/>
      <c r="G143" s="119">
        <f t="shared" si="7"/>
        <v>0</v>
      </c>
      <c r="H143" s="56"/>
      <c r="I143" s="15"/>
    </row>
    <row r="144" spans="1:9" s="3" customFormat="1" ht="13.5" x14ac:dyDescent="0.25">
      <c r="A144" s="127"/>
      <c r="B144" s="57"/>
      <c r="C144" s="99"/>
      <c r="D144" s="161"/>
      <c r="E144" s="161"/>
      <c r="F144" s="157" t="s">
        <v>53</v>
      </c>
      <c r="G144" s="120">
        <f>SUM(G139:G143)</f>
        <v>0</v>
      </c>
      <c r="H144" s="56"/>
      <c r="I144" s="15"/>
    </row>
    <row r="145" spans="1:9" s="3" customFormat="1" ht="11.1" customHeight="1" x14ac:dyDescent="0.25">
      <c r="A145" s="127"/>
      <c r="B145" s="107" t="s">
        <v>59</v>
      </c>
      <c r="C145" s="99"/>
      <c r="D145" s="161"/>
      <c r="E145" s="161"/>
      <c r="F145" s="160"/>
      <c r="G145" s="128"/>
      <c r="H145" s="56"/>
      <c r="I145" s="15"/>
    </row>
    <row r="146" spans="1:9" s="3" customFormat="1" ht="24.95" customHeight="1" x14ac:dyDescent="0.25">
      <c r="A146" s="127" t="s">
        <v>60</v>
      </c>
      <c r="B146" s="57" t="s">
        <v>162</v>
      </c>
      <c r="C146" s="99"/>
      <c r="D146" s="161"/>
      <c r="E146" s="161"/>
      <c r="F146" s="161"/>
      <c r="G146" s="129"/>
      <c r="H146" s="56"/>
      <c r="I146" s="15"/>
    </row>
    <row r="147" spans="1:9" s="3" customFormat="1" ht="24.95" customHeight="1" x14ac:dyDescent="0.25">
      <c r="A147" s="127" t="s">
        <v>66</v>
      </c>
      <c r="B147" s="57" t="s">
        <v>254</v>
      </c>
      <c r="C147" s="99" t="s">
        <v>20</v>
      </c>
      <c r="D147" s="161">
        <f>(10+10+20+20)*0.2*0.15</f>
        <v>1.7999999999999998</v>
      </c>
      <c r="E147" s="161"/>
      <c r="F147" s="161"/>
      <c r="G147" s="119">
        <f t="shared" ref="G147:G157" si="8">ROUND(D147*F147,2)</f>
        <v>0</v>
      </c>
      <c r="H147" s="56"/>
      <c r="I147" s="15"/>
    </row>
    <row r="148" spans="1:9" s="3" customFormat="1" ht="24.95" customHeight="1" x14ac:dyDescent="0.25">
      <c r="A148" s="127" t="s">
        <v>231</v>
      </c>
      <c r="B148" s="57" t="s">
        <v>232</v>
      </c>
      <c r="C148" s="99" t="s">
        <v>20</v>
      </c>
      <c r="D148" s="161">
        <f>(10+10+20+20)*0.5*0.5</f>
        <v>15</v>
      </c>
      <c r="E148" s="161"/>
      <c r="F148" s="161"/>
      <c r="G148" s="119">
        <f t="shared" si="8"/>
        <v>0</v>
      </c>
      <c r="H148" s="56"/>
      <c r="I148" s="15"/>
    </row>
    <row r="149" spans="1:9" s="3" customFormat="1" ht="24.95" customHeight="1" x14ac:dyDescent="0.25">
      <c r="A149" s="127" t="s">
        <v>63</v>
      </c>
      <c r="B149" s="57" t="s">
        <v>69</v>
      </c>
      <c r="C149" s="99"/>
      <c r="D149" s="161"/>
      <c r="E149" s="161"/>
      <c r="F149" s="161"/>
      <c r="G149" s="119"/>
      <c r="H149" s="56"/>
      <c r="I149" s="15"/>
    </row>
    <row r="150" spans="1:9" s="3" customFormat="1" ht="24.95" customHeight="1" x14ac:dyDescent="0.25">
      <c r="A150" s="127" t="s">
        <v>255</v>
      </c>
      <c r="B150" s="57" t="s">
        <v>256</v>
      </c>
      <c r="C150" s="99" t="s">
        <v>52</v>
      </c>
      <c r="D150" s="161">
        <f>(10+10+20+20)</f>
        <v>60</v>
      </c>
      <c r="E150" s="161"/>
      <c r="F150" s="161"/>
      <c r="G150" s="119">
        <f t="shared" si="8"/>
        <v>0</v>
      </c>
      <c r="H150" s="56"/>
      <c r="I150" s="15"/>
    </row>
    <row r="151" spans="1:9" s="3" customFormat="1" ht="24.95" customHeight="1" x14ac:dyDescent="0.25">
      <c r="A151" s="127" t="s">
        <v>257</v>
      </c>
      <c r="B151" s="57" t="s">
        <v>258</v>
      </c>
      <c r="C151" s="99"/>
      <c r="D151" s="161"/>
      <c r="E151" s="161"/>
      <c r="F151" s="161"/>
      <c r="G151" s="119"/>
      <c r="H151" s="56"/>
      <c r="I151" s="15"/>
    </row>
    <row r="152" spans="1:9" s="3" customFormat="1" ht="24.95" customHeight="1" x14ac:dyDescent="0.25">
      <c r="A152" s="127" t="s">
        <v>259</v>
      </c>
      <c r="B152" s="57" t="s">
        <v>260</v>
      </c>
      <c r="C152" s="99" t="s">
        <v>19</v>
      </c>
      <c r="D152" s="161">
        <f>(10+10+20+20)*2.5</f>
        <v>150</v>
      </c>
      <c r="E152" s="161"/>
      <c r="F152" s="161"/>
      <c r="G152" s="119">
        <f t="shared" si="8"/>
        <v>0</v>
      </c>
      <c r="H152" s="56"/>
      <c r="I152" s="15"/>
    </row>
    <row r="153" spans="1:9" s="3" customFormat="1" ht="24.95" customHeight="1" x14ac:dyDescent="0.25">
      <c r="A153" s="127" t="s">
        <v>261</v>
      </c>
      <c r="B153" s="57" t="s">
        <v>262</v>
      </c>
      <c r="C153" s="99" t="s">
        <v>17</v>
      </c>
      <c r="D153" s="161">
        <v>1</v>
      </c>
      <c r="E153" s="161"/>
      <c r="F153" s="161"/>
      <c r="G153" s="119">
        <f t="shared" si="8"/>
        <v>0</v>
      </c>
      <c r="H153" s="56"/>
      <c r="I153" s="15"/>
    </row>
    <row r="154" spans="1:9" s="3" customFormat="1" ht="24.95" customHeight="1" x14ac:dyDescent="0.25">
      <c r="A154" s="127" t="s">
        <v>215</v>
      </c>
      <c r="B154" s="57" t="s">
        <v>216</v>
      </c>
      <c r="C154" s="99"/>
      <c r="D154" s="161"/>
      <c r="E154" s="161"/>
      <c r="F154" s="161"/>
      <c r="G154" s="119"/>
      <c r="H154" s="56"/>
      <c r="I154" s="15"/>
    </row>
    <row r="155" spans="1:9" s="3" customFormat="1" ht="24.95" customHeight="1" x14ac:dyDescent="0.25">
      <c r="A155" s="127" t="s">
        <v>217</v>
      </c>
      <c r="B155" s="57" t="s">
        <v>83</v>
      </c>
      <c r="C155" s="99" t="s">
        <v>19</v>
      </c>
      <c r="D155" s="161">
        <v>55.66</v>
      </c>
      <c r="E155" s="161"/>
      <c r="F155" s="161"/>
      <c r="G155" s="119">
        <f t="shared" si="8"/>
        <v>0</v>
      </c>
      <c r="H155" s="56"/>
      <c r="I155" s="15"/>
    </row>
    <row r="156" spans="1:9" s="3" customFormat="1" ht="24.95" customHeight="1" x14ac:dyDescent="0.25">
      <c r="A156" s="127" t="s">
        <v>70</v>
      </c>
      <c r="B156" s="57" t="s">
        <v>233</v>
      </c>
      <c r="C156" s="99" t="s">
        <v>20</v>
      </c>
      <c r="D156" s="161">
        <f>10*20*0.1</f>
        <v>20</v>
      </c>
      <c r="E156" s="161"/>
      <c r="F156" s="161"/>
      <c r="G156" s="119">
        <f t="shared" si="8"/>
        <v>0</v>
      </c>
      <c r="H156" s="56"/>
      <c r="I156" s="15"/>
    </row>
    <row r="157" spans="1:9" s="3" customFormat="1" ht="24.95" customHeight="1" x14ac:dyDescent="0.25">
      <c r="A157" s="127" t="s">
        <v>263</v>
      </c>
      <c r="B157" s="57" t="s">
        <v>264</v>
      </c>
      <c r="C157" s="99" t="s">
        <v>19</v>
      </c>
      <c r="D157" s="161">
        <f>10*20</f>
        <v>200</v>
      </c>
      <c r="E157" s="161"/>
      <c r="F157" s="161"/>
      <c r="G157" s="119">
        <f t="shared" si="8"/>
        <v>0</v>
      </c>
      <c r="H157" s="56"/>
      <c r="I157" s="15"/>
    </row>
    <row r="158" spans="1:9" s="3" customFormat="1" ht="11.1" customHeight="1" x14ac:dyDescent="0.25">
      <c r="A158" s="127"/>
      <c r="B158" s="107"/>
      <c r="C158" s="99"/>
      <c r="D158" s="161"/>
      <c r="E158" s="161"/>
      <c r="F158" s="162" t="s">
        <v>253</v>
      </c>
      <c r="G158" s="128">
        <f>SUM(G147:G157)</f>
        <v>0</v>
      </c>
      <c r="H158" s="56"/>
      <c r="I158" s="15"/>
    </row>
    <row r="159" spans="1:9" s="3" customFormat="1" ht="11.1" customHeight="1" x14ac:dyDescent="0.25">
      <c r="A159" s="115">
        <v>8</v>
      </c>
      <c r="B159" s="51" t="s">
        <v>285</v>
      </c>
      <c r="C159" s="52"/>
      <c r="D159" s="161"/>
      <c r="E159" s="161"/>
      <c r="F159" s="155"/>
      <c r="G159" s="119"/>
      <c r="H159" s="49"/>
      <c r="I159" s="15"/>
    </row>
    <row r="160" spans="1:9" s="3" customFormat="1" ht="11.1" customHeight="1" x14ac:dyDescent="0.25">
      <c r="A160" s="118"/>
      <c r="B160" s="53" t="s">
        <v>53</v>
      </c>
      <c r="C160" s="52"/>
      <c r="D160" s="161"/>
      <c r="E160" s="161"/>
      <c r="F160" s="155"/>
      <c r="G160" s="119"/>
      <c r="H160" s="49"/>
      <c r="I160" s="15"/>
    </row>
    <row r="161" spans="1:9" s="3" customFormat="1" ht="11.1" customHeight="1" x14ac:dyDescent="0.25">
      <c r="A161" s="117" t="s">
        <v>54</v>
      </c>
      <c r="B161" s="57" t="s">
        <v>55</v>
      </c>
      <c r="C161" s="52" t="s">
        <v>19</v>
      </c>
      <c r="D161" s="161">
        <f>0.6*J11</f>
        <v>1260</v>
      </c>
      <c r="E161" s="161"/>
      <c r="F161" s="156"/>
      <c r="G161" s="119">
        <f t="shared" ref="G161:G171" si="9">ROUND(D161*F161,2)</f>
        <v>0</v>
      </c>
      <c r="H161" s="49"/>
      <c r="I161" s="15"/>
    </row>
    <row r="162" spans="1:9" s="3" customFormat="1" ht="127.5" customHeight="1" x14ac:dyDescent="0.25">
      <c r="A162" s="117" t="s">
        <v>90</v>
      </c>
      <c r="B162" s="57" t="s">
        <v>234</v>
      </c>
      <c r="C162" s="52"/>
      <c r="D162" s="161"/>
      <c r="E162" s="161"/>
      <c r="F162" s="156"/>
      <c r="G162" s="119"/>
      <c r="H162" s="49"/>
      <c r="I162" s="15"/>
    </row>
    <row r="163" spans="1:9" s="3" customFormat="1" ht="11.1" customHeight="1" x14ac:dyDescent="0.25">
      <c r="A163" s="117"/>
      <c r="B163" s="57" t="s">
        <v>286</v>
      </c>
      <c r="C163" s="52" t="s">
        <v>20</v>
      </c>
      <c r="D163" s="161">
        <f>0.6*J11*1.05*0.7</f>
        <v>926.09999999999991</v>
      </c>
      <c r="E163" s="161"/>
      <c r="F163" s="156"/>
      <c r="G163" s="119">
        <f t="shared" si="9"/>
        <v>0</v>
      </c>
      <c r="H163" s="49"/>
      <c r="I163" s="15"/>
    </row>
    <row r="164" spans="1:9" s="3" customFormat="1" ht="116.25" customHeight="1" x14ac:dyDescent="0.25">
      <c r="A164" s="118"/>
      <c r="B164" s="97" t="s">
        <v>287</v>
      </c>
      <c r="C164" s="98"/>
      <c r="D164" s="161"/>
      <c r="E164" s="161"/>
      <c r="F164" s="156"/>
      <c r="G164" s="119"/>
      <c r="H164" s="58"/>
      <c r="I164" s="15"/>
    </row>
    <row r="165" spans="1:9" s="3" customFormat="1" ht="25.5" customHeight="1" x14ac:dyDescent="0.25">
      <c r="A165" s="118"/>
      <c r="B165" s="97" t="s">
        <v>78</v>
      </c>
      <c r="C165" s="98" t="s">
        <v>20</v>
      </c>
      <c r="D165" s="161">
        <f>0.6*J11*1.05*0.3</f>
        <v>396.9</v>
      </c>
      <c r="E165" s="161"/>
      <c r="F165" s="156"/>
      <c r="G165" s="119">
        <f t="shared" si="9"/>
        <v>0</v>
      </c>
      <c r="H165" s="58"/>
      <c r="I165" s="15"/>
    </row>
    <row r="166" spans="1:9" s="3" customFormat="1" ht="78.75" customHeight="1" x14ac:dyDescent="0.25">
      <c r="A166" s="117" t="s">
        <v>91</v>
      </c>
      <c r="B166" s="57" t="s">
        <v>183</v>
      </c>
      <c r="C166" s="52"/>
      <c r="D166" s="161"/>
      <c r="E166" s="161"/>
      <c r="F166" s="156"/>
      <c r="G166" s="119"/>
      <c r="H166" s="49"/>
      <c r="I166" s="15"/>
    </row>
    <row r="167" spans="1:9" s="3" customFormat="1" ht="11.1" customHeight="1" x14ac:dyDescent="0.25">
      <c r="A167" s="117" t="s">
        <v>92</v>
      </c>
      <c r="B167" s="57" t="s">
        <v>93</v>
      </c>
      <c r="C167" s="52" t="s">
        <v>20</v>
      </c>
      <c r="D167" s="161">
        <f>0.6*J11*0.1</f>
        <v>126</v>
      </c>
      <c r="E167" s="161"/>
      <c r="F167" s="156"/>
      <c r="G167" s="119">
        <f t="shared" si="9"/>
        <v>0</v>
      </c>
      <c r="H167" s="49"/>
      <c r="I167" s="15"/>
    </row>
    <row r="168" spans="1:9" s="3" customFormat="1" ht="30.75" customHeight="1" x14ac:dyDescent="0.25">
      <c r="A168" s="118" t="s">
        <v>94</v>
      </c>
      <c r="B168" s="97" t="s">
        <v>187</v>
      </c>
      <c r="C168" s="98"/>
      <c r="D168" s="161"/>
      <c r="E168" s="161"/>
      <c r="F168" s="155"/>
      <c r="G168" s="119"/>
      <c r="H168" s="5"/>
      <c r="I168" s="15"/>
    </row>
    <row r="169" spans="1:9" s="3" customFormat="1" ht="30.75" customHeight="1" x14ac:dyDescent="0.25">
      <c r="A169" s="118" t="s">
        <v>235</v>
      </c>
      <c r="B169" s="97" t="s">
        <v>236</v>
      </c>
      <c r="C169" s="98" t="s">
        <v>20</v>
      </c>
      <c r="D169" s="161">
        <f>(D163+D165)-D167-(0.0811*J11)</f>
        <v>1026.69</v>
      </c>
      <c r="E169" s="161"/>
      <c r="F169" s="156"/>
      <c r="G169" s="119">
        <f t="shared" si="9"/>
        <v>0</v>
      </c>
      <c r="H169" s="49"/>
      <c r="I169" s="15"/>
    </row>
    <row r="170" spans="1:9" s="3" customFormat="1" ht="55.5" customHeight="1" x14ac:dyDescent="0.25">
      <c r="A170" s="142" t="s">
        <v>288</v>
      </c>
      <c r="B170" s="13" t="s">
        <v>289</v>
      </c>
      <c r="C170" s="98"/>
      <c r="D170" s="161"/>
      <c r="E170" s="161"/>
      <c r="F170" s="155"/>
      <c r="G170" s="119"/>
      <c r="H170" s="5"/>
      <c r="I170" s="15"/>
    </row>
    <row r="171" spans="1:9" s="3" customFormat="1" ht="11.1" customHeight="1" x14ac:dyDescent="0.25">
      <c r="A171" s="142"/>
      <c r="B171" s="13" t="s">
        <v>274</v>
      </c>
      <c r="C171" s="98" t="s">
        <v>52</v>
      </c>
      <c r="D171" s="161">
        <f>J11</f>
        <v>2100</v>
      </c>
      <c r="E171" s="161"/>
      <c r="F171" s="156"/>
      <c r="G171" s="119">
        <f t="shared" si="9"/>
        <v>0</v>
      </c>
      <c r="H171" s="49"/>
      <c r="I171" s="15"/>
    </row>
    <row r="172" spans="1:9" s="3" customFormat="1" ht="21.95" customHeight="1" x14ac:dyDescent="0.25">
      <c r="A172" s="118"/>
      <c r="B172" s="97"/>
      <c r="C172" s="98"/>
      <c r="D172" s="161"/>
      <c r="E172" s="161"/>
      <c r="F172" s="157" t="s">
        <v>53</v>
      </c>
      <c r="G172" s="120">
        <f>SUM(G161:G171)</f>
        <v>0</v>
      </c>
      <c r="H172" s="56"/>
      <c r="I172" s="15"/>
    </row>
    <row r="173" spans="1:9" s="3" customFormat="1" ht="11.1" customHeight="1" x14ac:dyDescent="0.25">
      <c r="A173" s="118"/>
      <c r="B173" s="53" t="s">
        <v>59</v>
      </c>
      <c r="C173" s="52"/>
      <c r="D173" s="161"/>
      <c r="E173" s="161"/>
      <c r="F173" s="155"/>
      <c r="G173" s="130"/>
      <c r="H173" s="5"/>
      <c r="I173" s="15"/>
    </row>
    <row r="174" spans="1:9" s="3" customFormat="1" ht="59.25" customHeight="1" x14ac:dyDescent="0.25">
      <c r="A174" s="118" t="s">
        <v>96</v>
      </c>
      <c r="B174" s="97" t="s">
        <v>237</v>
      </c>
      <c r="C174" s="52"/>
      <c r="D174" s="161"/>
      <c r="E174" s="161"/>
      <c r="F174" s="155"/>
      <c r="G174" s="130"/>
      <c r="H174" s="5"/>
      <c r="I174" s="15"/>
    </row>
    <row r="175" spans="1:9" s="3" customFormat="1" ht="11.1" customHeight="1" x14ac:dyDescent="0.25">
      <c r="A175" s="118" t="s">
        <v>97</v>
      </c>
      <c r="B175" s="97" t="s">
        <v>98</v>
      </c>
      <c r="C175" s="52" t="s">
        <v>17</v>
      </c>
      <c r="D175" s="161">
        <v>1</v>
      </c>
      <c r="E175" s="161"/>
      <c r="F175" s="156"/>
      <c r="G175" s="119">
        <f t="shared" ref="G175:G187" si="10">ROUND(D175*F175,2)</f>
        <v>0</v>
      </c>
      <c r="H175" s="49"/>
      <c r="I175" s="49"/>
    </row>
    <row r="176" spans="1:9" s="3" customFormat="1" ht="29.25" customHeight="1" x14ac:dyDescent="0.25">
      <c r="A176" s="118" t="s">
        <v>99</v>
      </c>
      <c r="B176" s="97" t="s">
        <v>238</v>
      </c>
      <c r="C176" s="52"/>
      <c r="D176" s="161"/>
      <c r="E176" s="161"/>
      <c r="F176" s="155"/>
      <c r="G176" s="119"/>
      <c r="H176" s="5"/>
      <c r="I176" s="5"/>
    </row>
    <row r="177" spans="1:9" s="3" customFormat="1" ht="11.1" customHeight="1" x14ac:dyDescent="0.25">
      <c r="A177" s="118" t="s">
        <v>100</v>
      </c>
      <c r="B177" s="57" t="s">
        <v>239</v>
      </c>
      <c r="C177" s="52" t="s">
        <v>17</v>
      </c>
      <c r="D177" s="161">
        <v>1</v>
      </c>
      <c r="E177" s="161"/>
      <c r="F177" s="156"/>
      <c r="G177" s="119">
        <f t="shared" si="10"/>
        <v>0</v>
      </c>
      <c r="H177" s="49"/>
      <c r="I177" s="49"/>
    </row>
    <row r="178" spans="1:9" s="3" customFormat="1" ht="27" x14ac:dyDescent="0.25">
      <c r="A178" s="142" t="s">
        <v>290</v>
      </c>
      <c r="B178" s="13" t="s">
        <v>291</v>
      </c>
      <c r="C178" s="98"/>
      <c r="D178" s="161"/>
      <c r="E178" s="161"/>
      <c r="F178" s="155"/>
      <c r="G178" s="119"/>
      <c r="H178" s="70"/>
      <c r="I178" s="5"/>
    </row>
    <row r="179" spans="1:9" s="3" customFormat="1" ht="13.5" x14ac:dyDescent="0.25">
      <c r="A179" s="142"/>
      <c r="B179" s="13" t="s">
        <v>292</v>
      </c>
      <c r="C179" s="98" t="s">
        <v>52</v>
      </c>
      <c r="D179" s="161">
        <f>J11</f>
        <v>2100</v>
      </c>
      <c r="E179" s="161"/>
      <c r="F179" s="156"/>
      <c r="G179" s="119">
        <f t="shared" si="10"/>
        <v>0</v>
      </c>
      <c r="H179" s="49"/>
      <c r="I179" s="49"/>
    </row>
    <row r="180" spans="1:9" s="3" customFormat="1" ht="40.5" x14ac:dyDescent="0.25">
      <c r="A180" s="117" t="s">
        <v>163</v>
      </c>
      <c r="B180" s="57" t="s">
        <v>102</v>
      </c>
      <c r="C180" s="52"/>
      <c r="D180" s="161"/>
      <c r="E180" s="161"/>
      <c r="F180" s="155"/>
      <c r="G180" s="119"/>
      <c r="H180" s="5"/>
      <c r="I180" s="5"/>
    </row>
    <row r="181" spans="1:9" s="3" customFormat="1" ht="11.1" customHeight="1" x14ac:dyDescent="0.25">
      <c r="A181" s="118" t="s">
        <v>164</v>
      </c>
      <c r="B181" s="57" t="s">
        <v>165</v>
      </c>
      <c r="C181" s="52" t="s">
        <v>17</v>
      </c>
      <c r="D181" s="161">
        <v>4</v>
      </c>
      <c r="E181" s="161"/>
      <c r="F181" s="156"/>
      <c r="G181" s="119">
        <f t="shared" si="10"/>
        <v>0</v>
      </c>
      <c r="H181" s="49"/>
      <c r="I181" s="49"/>
    </row>
    <row r="182" spans="1:9" s="3" customFormat="1" ht="11.1" customHeight="1" x14ac:dyDescent="0.25">
      <c r="A182" s="118" t="s">
        <v>166</v>
      </c>
      <c r="B182" s="57" t="s">
        <v>73</v>
      </c>
      <c r="C182" s="52"/>
      <c r="D182" s="161"/>
      <c r="E182" s="161"/>
      <c r="F182" s="155"/>
      <c r="G182" s="119"/>
      <c r="H182" s="5"/>
      <c r="I182" s="5"/>
    </row>
    <row r="183" spans="1:9" s="3" customFormat="1" ht="11.1" customHeight="1" x14ac:dyDescent="0.25">
      <c r="A183" s="117"/>
      <c r="B183" s="57" t="s">
        <v>293</v>
      </c>
      <c r="C183" s="52" t="s">
        <v>167</v>
      </c>
      <c r="D183" s="161">
        <v>2</v>
      </c>
      <c r="E183" s="161"/>
      <c r="F183" s="156"/>
      <c r="G183" s="119">
        <f t="shared" si="10"/>
        <v>0</v>
      </c>
      <c r="H183" s="49"/>
      <c r="I183" s="49"/>
    </row>
    <row r="184" spans="1:9" s="3" customFormat="1" ht="27" x14ac:dyDescent="0.25">
      <c r="A184" s="118" t="s">
        <v>101</v>
      </c>
      <c r="B184" s="97" t="s">
        <v>240</v>
      </c>
      <c r="C184" s="98"/>
      <c r="D184" s="161"/>
      <c r="E184" s="161"/>
      <c r="F184" s="155"/>
      <c r="G184" s="119"/>
      <c r="H184" s="70"/>
      <c r="I184" s="5"/>
    </row>
    <row r="185" spans="1:9" s="3" customFormat="1" ht="11.1" customHeight="1" x14ac:dyDescent="0.25">
      <c r="A185" s="118"/>
      <c r="B185" s="97" t="s">
        <v>277</v>
      </c>
      <c r="C185" s="98" t="s">
        <v>17</v>
      </c>
      <c r="D185" s="161">
        <v>2</v>
      </c>
      <c r="E185" s="161"/>
      <c r="F185" s="156"/>
      <c r="G185" s="119">
        <f t="shared" si="10"/>
        <v>0</v>
      </c>
      <c r="H185" s="49"/>
      <c r="I185" s="49"/>
    </row>
    <row r="186" spans="1:9" s="3" customFormat="1" ht="67.5" x14ac:dyDescent="0.25">
      <c r="A186" s="117" t="s">
        <v>87</v>
      </c>
      <c r="B186" s="57" t="s">
        <v>241</v>
      </c>
      <c r="C186" s="52" t="s">
        <v>17</v>
      </c>
      <c r="D186" s="161">
        <v>4</v>
      </c>
      <c r="E186" s="161"/>
      <c r="F186" s="156"/>
      <c r="G186" s="119">
        <f t="shared" si="10"/>
        <v>0</v>
      </c>
      <c r="H186" s="49"/>
      <c r="I186" s="49"/>
    </row>
    <row r="187" spans="1:9" s="3" customFormat="1" ht="81" x14ac:dyDescent="0.25">
      <c r="A187" s="117" t="s">
        <v>279</v>
      </c>
      <c r="B187" s="57" t="s">
        <v>280</v>
      </c>
      <c r="C187" s="52" t="s">
        <v>17</v>
      </c>
      <c r="D187" s="161">
        <v>1</v>
      </c>
      <c r="E187" s="161"/>
      <c r="F187" s="156"/>
      <c r="G187" s="119">
        <f t="shared" si="10"/>
        <v>0</v>
      </c>
      <c r="H187" s="49"/>
      <c r="I187" s="49"/>
    </row>
    <row r="188" spans="1:9" s="3" customFormat="1" ht="15.75" customHeight="1" thickBot="1" x14ac:dyDescent="0.3">
      <c r="A188" s="131"/>
      <c r="B188" s="95"/>
      <c r="C188" s="96"/>
      <c r="D188" s="180"/>
      <c r="E188" s="180"/>
      <c r="F188" s="163" t="s">
        <v>59</v>
      </c>
      <c r="G188" s="132">
        <f>SUM(G175:G187)</f>
        <v>0</v>
      </c>
      <c r="H188" s="56"/>
      <c r="I188" s="15"/>
    </row>
    <row r="189" spans="1:9" s="3" customFormat="1" ht="21.95" customHeight="1" x14ac:dyDescent="0.25">
      <c r="A189" s="71"/>
      <c r="B189" s="72"/>
      <c r="C189" s="72"/>
      <c r="D189" s="164"/>
      <c r="E189" s="164"/>
      <c r="F189" s="164"/>
      <c r="G189" s="73"/>
      <c r="H189" s="15"/>
      <c r="I189" s="15"/>
    </row>
    <row r="190" spans="1:9" s="3" customFormat="1" ht="12.95" customHeight="1" x14ac:dyDescent="0.25">
      <c r="A190" s="134"/>
      <c r="B190" s="188" t="s">
        <v>9</v>
      </c>
      <c r="C190" s="188"/>
      <c r="D190" s="188"/>
      <c r="E190" s="147"/>
      <c r="F190" s="165"/>
      <c r="G190" s="19"/>
      <c r="H190" s="15"/>
      <c r="I190" s="15"/>
    </row>
    <row r="191" spans="1:9" s="3" customFormat="1" ht="11.1" customHeight="1" x14ac:dyDescent="0.25">
      <c r="A191" s="134"/>
      <c r="B191" s="135"/>
      <c r="C191" s="17"/>
      <c r="D191" s="165"/>
      <c r="E191" s="165"/>
      <c r="F191" s="165"/>
      <c r="G191" s="19"/>
      <c r="H191" s="15"/>
      <c r="I191" s="15"/>
    </row>
    <row r="192" spans="1:9" s="37" customFormat="1" ht="12.95" customHeight="1" x14ac:dyDescent="0.2">
      <c r="A192" s="136"/>
      <c r="B192" s="59"/>
      <c r="C192" s="60"/>
      <c r="D192" s="166" t="s">
        <v>53</v>
      </c>
      <c r="E192" s="166"/>
      <c r="F192" s="166" t="s">
        <v>59</v>
      </c>
      <c r="G192" s="74" t="s">
        <v>10</v>
      </c>
      <c r="H192" s="36"/>
      <c r="I192" s="36"/>
    </row>
    <row r="193" spans="1:15" s="3" customFormat="1" ht="12.95" customHeight="1" x14ac:dyDescent="0.25">
      <c r="A193" s="134"/>
      <c r="B193" s="4"/>
      <c r="C193" s="17"/>
      <c r="D193" s="167"/>
      <c r="E193" s="167"/>
      <c r="F193" s="167"/>
      <c r="G193" s="20"/>
      <c r="H193" s="15"/>
      <c r="I193" s="15"/>
    </row>
    <row r="194" spans="1:15" s="37" customFormat="1" ht="12.95" customHeight="1" x14ac:dyDescent="0.2">
      <c r="A194" s="137">
        <f>A13</f>
        <v>1</v>
      </c>
      <c r="B194" s="61" t="str">
        <f>B13</f>
        <v>EQUIPAMIENTO DE POZO</v>
      </c>
      <c r="C194" s="60"/>
      <c r="D194" s="168"/>
      <c r="E194" s="168"/>
      <c r="F194" s="168">
        <f>G15</f>
        <v>0</v>
      </c>
      <c r="G194" s="75">
        <f>D194+F194</f>
        <v>0</v>
      </c>
      <c r="H194" s="36"/>
      <c r="I194" s="36"/>
      <c r="K194" s="37" t="s">
        <v>300</v>
      </c>
      <c r="L194" s="148">
        <f>G194+G196+G198</f>
        <v>0</v>
      </c>
      <c r="M194" s="148">
        <f>L194*0.16</f>
        <v>0</v>
      </c>
      <c r="N194" s="149">
        <f>M194+L194</f>
        <v>0</v>
      </c>
      <c r="O194" s="149">
        <f>N194+N198+N200+N202</f>
        <v>0</v>
      </c>
    </row>
    <row r="195" spans="1:15" s="37" customFormat="1" ht="6" customHeight="1" x14ac:dyDescent="0.2">
      <c r="A195" s="138"/>
      <c r="B195" s="62"/>
      <c r="C195" s="60"/>
      <c r="D195" s="168"/>
      <c r="E195" s="168"/>
      <c r="F195" s="168"/>
      <c r="G195" s="75"/>
      <c r="H195" s="36"/>
      <c r="I195" s="36"/>
      <c r="L195" s="148"/>
      <c r="M195" s="148"/>
    </row>
    <row r="196" spans="1:15" s="37" customFormat="1" ht="12.95" customHeight="1" x14ac:dyDescent="0.2">
      <c r="A196" s="138">
        <f>A17</f>
        <v>2</v>
      </c>
      <c r="B196" s="145" t="str">
        <f>B17</f>
        <v>SUBESTACIÓN ELÉCTRICA DE POZO</v>
      </c>
      <c r="C196" s="60"/>
      <c r="D196" s="168"/>
      <c r="E196" s="168"/>
      <c r="F196" s="168">
        <f>G19</f>
        <v>0</v>
      </c>
      <c r="G196" s="75">
        <f>F196</f>
        <v>0</v>
      </c>
      <c r="H196" s="36"/>
      <c r="I196" s="36"/>
      <c r="K196" s="37" t="s">
        <v>278</v>
      </c>
      <c r="L196" s="148">
        <f>G202+G204</f>
        <v>0</v>
      </c>
      <c r="M196" s="148">
        <f>L196*0.16</f>
        <v>0</v>
      </c>
      <c r="N196" s="149">
        <f>M196+L196</f>
        <v>0</v>
      </c>
      <c r="O196" s="149">
        <f>N196</f>
        <v>0</v>
      </c>
    </row>
    <row r="197" spans="1:15" s="37" customFormat="1" ht="6" customHeight="1" x14ac:dyDescent="0.2">
      <c r="A197" s="138"/>
      <c r="B197" s="63"/>
      <c r="C197" s="60"/>
      <c r="D197" s="168"/>
      <c r="E197" s="168"/>
      <c r="F197" s="168"/>
      <c r="G197" s="75"/>
      <c r="H197" s="36"/>
      <c r="I197" s="36"/>
      <c r="L197" s="148"/>
      <c r="M197" s="148"/>
    </row>
    <row r="198" spans="1:15" s="37" customFormat="1" ht="12.95" customHeight="1" x14ac:dyDescent="0.2">
      <c r="A198" s="138">
        <f>A21</f>
        <v>3</v>
      </c>
      <c r="B198" s="63" t="str">
        <f>B21</f>
        <v>ELECTRIFICACIÓN DE POZO</v>
      </c>
      <c r="C198" s="60"/>
      <c r="D198" s="168"/>
      <c r="E198" s="168"/>
      <c r="F198" s="168">
        <f>G25</f>
        <v>0</v>
      </c>
      <c r="G198" s="75">
        <f>D198+F198</f>
        <v>0</v>
      </c>
      <c r="H198" s="36"/>
      <c r="I198" s="36"/>
      <c r="K198" s="37" t="s">
        <v>297</v>
      </c>
      <c r="L198" s="148">
        <f>G206</f>
        <v>0</v>
      </c>
      <c r="M198" s="148">
        <f>L198*0.16</f>
        <v>0</v>
      </c>
      <c r="N198" s="149">
        <f>M198+L198</f>
        <v>0</v>
      </c>
    </row>
    <row r="199" spans="1:15" s="37" customFormat="1" ht="6" customHeight="1" x14ac:dyDescent="0.2">
      <c r="A199" s="138"/>
      <c r="B199" s="62"/>
      <c r="C199" s="60"/>
      <c r="D199" s="168"/>
      <c r="E199" s="168"/>
      <c r="F199" s="168"/>
      <c r="G199" s="75"/>
      <c r="H199" s="36"/>
      <c r="I199" s="36"/>
      <c r="L199" s="148"/>
      <c r="M199" s="148"/>
    </row>
    <row r="200" spans="1:15" s="37" customFormat="1" ht="12.95" customHeight="1" x14ac:dyDescent="0.2">
      <c r="A200" s="138">
        <f>A26</f>
        <v>4</v>
      </c>
      <c r="B200" s="62" t="str">
        <f>B26</f>
        <v>ELECTRIFICACIÓN DE POZO ENERGIA SOLAR</v>
      </c>
      <c r="C200" s="60"/>
      <c r="D200" s="168"/>
      <c r="E200" s="168"/>
      <c r="F200" s="168"/>
      <c r="G200" s="75"/>
      <c r="H200" s="36"/>
      <c r="I200" s="36"/>
      <c r="K200" s="37" t="s">
        <v>77</v>
      </c>
      <c r="L200" s="148">
        <f>G208</f>
        <v>0</v>
      </c>
      <c r="M200" s="148">
        <f>L200*0.16</f>
        <v>0</v>
      </c>
      <c r="N200" s="149">
        <f>M200+L200</f>
        <v>0</v>
      </c>
    </row>
    <row r="201" spans="1:15" s="37" customFormat="1" ht="2.1" customHeight="1" x14ac:dyDescent="0.2">
      <c r="A201" s="138"/>
      <c r="B201" s="62"/>
      <c r="C201" s="60"/>
      <c r="D201" s="168"/>
      <c r="E201" s="168"/>
      <c r="F201" s="168"/>
      <c r="G201" s="75"/>
      <c r="H201" s="36"/>
      <c r="I201" s="36"/>
      <c r="L201" s="148"/>
      <c r="M201" s="148"/>
    </row>
    <row r="202" spans="1:15" s="37" customFormat="1" ht="12.95" customHeight="1" x14ac:dyDescent="0.2">
      <c r="A202" s="138"/>
      <c r="B202" s="62" t="str">
        <f>B27</f>
        <v xml:space="preserve"> ESTRUCTURA PARA PANELES</v>
      </c>
      <c r="C202" s="60"/>
      <c r="D202" s="168"/>
      <c r="E202" s="168"/>
      <c r="F202" s="168">
        <f>G36</f>
        <v>0</v>
      </c>
      <c r="G202" s="75">
        <f>D202+F202</f>
        <v>0</v>
      </c>
      <c r="H202" s="36"/>
      <c r="I202" s="36"/>
      <c r="K202" s="37" t="s">
        <v>298</v>
      </c>
      <c r="L202" s="148">
        <f>G210</f>
        <v>0</v>
      </c>
      <c r="M202" s="148">
        <f>L202*0.16</f>
        <v>0</v>
      </c>
      <c r="N202" s="149">
        <f>M202+L202</f>
        <v>0</v>
      </c>
    </row>
    <row r="203" spans="1:15" s="37" customFormat="1" ht="0.95" customHeight="1" x14ac:dyDescent="0.2">
      <c r="A203" s="138"/>
      <c r="B203" s="62"/>
      <c r="C203" s="60"/>
      <c r="D203" s="168"/>
      <c r="E203" s="168"/>
      <c r="F203" s="168"/>
      <c r="G203" s="75"/>
      <c r="H203" s="36"/>
      <c r="I203" s="36"/>
      <c r="L203" s="148"/>
      <c r="M203" s="148"/>
    </row>
    <row r="204" spans="1:15" s="37" customFormat="1" ht="12.95" customHeight="1" x14ac:dyDescent="0.2">
      <c r="A204" s="138"/>
      <c r="B204" s="62" t="str">
        <f>B37</f>
        <v xml:space="preserve"> SISTEMA SOLAR</v>
      </c>
      <c r="C204" s="60"/>
      <c r="D204" s="168"/>
      <c r="E204" s="168"/>
      <c r="F204" s="168">
        <f>G45</f>
        <v>0</v>
      </c>
      <c r="G204" s="75">
        <f>D204+F204</f>
        <v>0</v>
      </c>
      <c r="H204" s="36">
        <f>(G194+G196+G198+G202+G204)*1.16</f>
        <v>0</v>
      </c>
      <c r="I204" s="36"/>
      <c r="K204" s="37" t="s">
        <v>285</v>
      </c>
      <c r="L204" s="148">
        <f>G212-L206</f>
        <v>0</v>
      </c>
      <c r="M204" s="148">
        <f>L204*0.16</f>
        <v>0</v>
      </c>
      <c r="N204" s="149">
        <f>M204+L204</f>
        <v>0</v>
      </c>
      <c r="O204" s="149">
        <f>N204+N206</f>
        <v>0</v>
      </c>
    </row>
    <row r="205" spans="1:15" s="37" customFormat="1" ht="6" customHeight="1" x14ac:dyDescent="0.2">
      <c r="A205" s="139"/>
      <c r="B205" s="63"/>
      <c r="C205" s="60"/>
      <c r="D205" s="168"/>
      <c r="E205" s="168"/>
      <c r="F205" s="168"/>
      <c r="G205" s="75"/>
      <c r="H205" s="64"/>
      <c r="I205" s="64"/>
      <c r="L205" s="148"/>
      <c r="M205" s="148"/>
    </row>
    <row r="206" spans="1:15" s="37" customFormat="1" ht="12.95" customHeight="1" x14ac:dyDescent="0.2">
      <c r="A206" s="138">
        <f>A46</f>
        <v>5</v>
      </c>
      <c r="B206" s="62" t="str">
        <f>B46</f>
        <v>DESCARGA HIDRÁULICA 100 MM (4") DE DIÁMETRO</v>
      </c>
      <c r="C206" s="60"/>
      <c r="D206" s="168">
        <f>G62</f>
        <v>0</v>
      </c>
      <c r="E206" s="168"/>
      <c r="F206" s="168">
        <f>G92</f>
        <v>0</v>
      </c>
      <c r="G206" s="75">
        <f>D206+F206</f>
        <v>0</v>
      </c>
      <c r="H206" s="36">
        <f>G206*1.16</f>
        <v>0</v>
      </c>
      <c r="I206" s="36"/>
      <c r="K206" s="37" t="s">
        <v>299</v>
      </c>
      <c r="L206" s="148">
        <f>G187</f>
        <v>0</v>
      </c>
      <c r="M206" s="148">
        <f>L206*0.16</f>
        <v>0</v>
      </c>
      <c r="N206" s="149">
        <f>M206+L206</f>
        <v>0</v>
      </c>
    </row>
    <row r="207" spans="1:15" s="37" customFormat="1" ht="6" customHeight="1" x14ac:dyDescent="0.2">
      <c r="A207" s="138"/>
      <c r="B207" s="62"/>
      <c r="C207" s="60"/>
      <c r="D207" s="168"/>
      <c r="E207" s="168"/>
      <c r="F207" s="168"/>
      <c r="G207" s="75"/>
      <c r="H207" s="36"/>
      <c r="I207" s="36"/>
      <c r="L207" s="148"/>
      <c r="M207" s="148"/>
    </row>
    <row r="208" spans="1:15" s="37" customFormat="1" ht="12.95" customHeight="1" x14ac:dyDescent="0.2">
      <c r="A208" s="138">
        <f>A93</f>
        <v>6</v>
      </c>
      <c r="B208" s="62" t="str">
        <f>B93</f>
        <v>CASETA DE CLORACIÓN</v>
      </c>
      <c r="C208" s="60"/>
      <c r="D208" s="168">
        <f>G111</f>
        <v>0</v>
      </c>
      <c r="E208" s="168"/>
      <c r="F208" s="168">
        <f>G136</f>
        <v>0</v>
      </c>
      <c r="G208" s="75">
        <f>D208+F208</f>
        <v>0</v>
      </c>
      <c r="H208" s="36">
        <f>G208*1.16</f>
        <v>0</v>
      </c>
      <c r="I208" s="36"/>
      <c r="L208" s="148">
        <f>SUM(L194:L206)</f>
        <v>0</v>
      </c>
      <c r="M208" s="148">
        <f>L208*0.16</f>
        <v>0</v>
      </c>
      <c r="N208" s="149">
        <f>M208+L208</f>
        <v>0</v>
      </c>
      <c r="O208" s="149">
        <f>SUM(O194:O205)</f>
        <v>0</v>
      </c>
    </row>
    <row r="209" spans="1:12" s="37" customFormat="1" ht="6" customHeight="1" x14ac:dyDescent="0.2">
      <c r="A209" s="138"/>
      <c r="B209" s="62"/>
      <c r="C209" s="60"/>
      <c r="D209" s="168"/>
      <c r="E209" s="168"/>
      <c r="F209" s="168"/>
      <c r="G209" s="75"/>
      <c r="H209" s="36"/>
      <c r="I209" s="36"/>
    </row>
    <row r="210" spans="1:12" s="37" customFormat="1" ht="12.95" customHeight="1" x14ac:dyDescent="0.2">
      <c r="A210" s="138">
        <f>A137</f>
        <v>7</v>
      </c>
      <c r="B210" s="62" t="str">
        <f>B137</f>
        <v>CERCO DE PROTECCIÓN</v>
      </c>
      <c r="C210" s="60"/>
      <c r="D210" s="168">
        <f>G144</f>
        <v>0</v>
      </c>
      <c r="E210" s="168"/>
      <c r="F210" s="168">
        <f>G158</f>
        <v>0</v>
      </c>
      <c r="G210" s="75">
        <f>D210+F210</f>
        <v>0</v>
      </c>
      <c r="H210" s="36">
        <f>G210*1.16</f>
        <v>0</v>
      </c>
      <c r="I210" s="36"/>
      <c r="L210" s="149">
        <f>L208-G216</f>
        <v>0</v>
      </c>
    </row>
    <row r="211" spans="1:12" s="37" customFormat="1" ht="6" customHeight="1" x14ac:dyDescent="0.2">
      <c r="A211" s="138"/>
      <c r="B211" s="62"/>
      <c r="C211" s="60"/>
      <c r="D211" s="168"/>
      <c r="E211" s="168"/>
      <c r="F211" s="168"/>
      <c r="G211" s="75"/>
      <c r="H211" s="36"/>
      <c r="I211" s="36"/>
    </row>
    <row r="212" spans="1:12" s="37" customFormat="1" ht="12.95" customHeight="1" x14ac:dyDescent="0.2">
      <c r="A212" s="138">
        <f>A159</f>
        <v>8</v>
      </c>
      <c r="B212" s="62" t="str">
        <f>B159</f>
        <v>LINEA DE CONDUCCIÓN</v>
      </c>
      <c r="D212" s="169">
        <f>G172</f>
        <v>0</v>
      </c>
      <c r="E212" s="169"/>
      <c r="F212" s="169">
        <f>G188</f>
        <v>0</v>
      </c>
      <c r="G212" s="77">
        <f>D212+F212</f>
        <v>0</v>
      </c>
      <c r="H212" s="36">
        <f>(G212-G187)*1.16</f>
        <v>0</v>
      </c>
      <c r="I212" s="36"/>
    </row>
    <row r="213" spans="1:12" s="37" customFormat="1" ht="12.95" customHeight="1" x14ac:dyDescent="0.2">
      <c r="A213" s="138"/>
      <c r="B213" s="62"/>
      <c r="D213" s="169"/>
      <c r="E213" s="169"/>
      <c r="F213" s="169"/>
      <c r="G213" s="77"/>
      <c r="H213" s="36"/>
      <c r="I213" s="36"/>
    </row>
    <row r="214" spans="1:12" s="37" customFormat="1" ht="12" customHeight="1" x14ac:dyDescent="0.2">
      <c r="A214" s="138"/>
      <c r="B214" s="62"/>
      <c r="D214" s="170"/>
      <c r="E214" s="170"/>
      <c r="F214" s="170"/>
      <c r="G214" s="77"/>
      <c r="H214" s="36"/>
      <c r="I214" s="36"/>
    </row>
    <row r="215" spans="1:12" s="37" customFormat="1" ht="5.25" customHeight="1" x14ac:dyDescent="0.2">
      <c r="A215" s="138"/>
      <c r="B215" s="62"/>
      <c r="D215" s="170"/>
      <c r="E215" s="170"/>
      <c r="F215" s="170"/>
      <c r="G215" s="77"/>
      <c r="H215" s="36"/>
      <c r="I215" s="36"/>
    </row>
    <row r="216" spans="1:12" s="37" customFormat="1" ht="12" customHeight="1" x14ac:dyDescent="0.2">
      <c r="A216" s="140"/>
      <c r="B216" s="62"/>
      <c r="C216" s="65" t="s">
        <v>0</v>
      </c>
      <c r="D216" s="171"/>
      <c r="E216" s="171"/>
      <c r="F216" s="171"/>
      <c r="G216" s="76">
        <f>SUM(G194:G214)</f>
        <v>0</v>
      </c>
      <c r="H216" s="66"/>
      <c r="I216" s="66"/>
      <c r="J216" s="67"/>
      <c r="K216" s="108"/>
    </row>
    <row r="217" spans="1:12" s="37" customFormat="1" ht="12" customHeight="1" x14ac:dyDescent="0.2">
      <c r="A217" s="140"/>
      <c r="B217" s="59"/>
      <c r="C217" s="65" t="s">
        <v>16</v>
      </c>
      <c r="D217" s="171"/>
      <c r="E217" s="171"/>
      <c r="F217" s="171"/>
      <c r="G217" s="100">
        <f>ROUND(G216*0.16,2)</f>
        <v>0</v>
      </c>
      <c r="H217" s="66"/>
      <c r="J217" s="67"/>
      <c r="K217" s="108"/>
    </row>
    <row r="218" spans="1:12" s="37" customFormat="1" ht="12" customHeight="1" x14ac:dyDescent="0.2">
      <c r="A218" s="140"/>
      <c r="B218" s="59"/>
      <c r="C218" s="65"/>
      <c r="D218" s="171"/>
      <c r="E218" s="171"/>
      <c r="F218" s="171"/>
      <c r="G218" s="74"/>
      <c r="H218" s="66"/>
      <c r="I218" s="66"/>
      <c r="J218" s="67"/>
      <c r="K218" s="108"/>
    </row>
    <row r="219" spans="1:12" s="37" customFormat="1" ht="12" customHeight="1" x14ac:dyDescent="0.2">
      <c r="A219" s="140"/>
      <c r="B219" s="59"/>
      <c r="C219" s="65" t="s">
        <v>10</v>
      </c>
      <c r="D219" s="171"/>
      <c r="E219" s="171"/>
      <c r="F219" s="171"/>
      <c r="G219" s="74">
        <f>G216+G217</f>
        <v>0</v>
      </c>
      <c r="H219" s="66"/>
      <c r="I219" s="66"/>
      <c r="J219" s="67"/>
      <c r="K219" s="108"/>
    </row>
    <row r="220" spans="1:12" s="3" customFormat="1" ht="12" customHeight="1" thickBot="1" x14ac:dyDescent="0.3">
      <c r="A220" s="102"/>
      <c r="B220" s="22"/>
      <c r="C220" s="141"/>
      <c r="D220" s="181"/>
      <c r="E220" s="181"/>
      <c r="F220" s="172"/>
      <c r="G220" s="103"/>
      <c r="H220" s="109"/>
      <c r="I220" s="109"/>
      <c r="J220" s="104"/>
      <c r="K220" s="110"/>
    </row>
    <row r="221" spans="1:12" s="3" customFormat="1" ht="13.5" x14ac:dyDescent="0.25">
      <c r="B221" s="133" t="s">
        <v>12</v>
      </c>
      <c r="D221" s="173"/>
      <c r="E221" s="173"/>
      <c r="F221" s="173"/>
      <c r="H221" s="111"/>
      <c r="I221" s="111"/>
    </row>
    <row r="222" spans="1:12" s="3" customFormat="1" ht="12" customHeight="1" x14ac:dyDescent="0.25">
      <c r="A222" s="18"/>
      <c r="B222" s="4"/>
      <c r="C222" s="16"/>
      <c r="D222" s="182"/>
      <c r="E222" s="182"/>
      <c r="F222" s="174"/>
      <c r="G222" s="21"/>
      <c r="H222" s="109"/>
      <c r="I222" s="109"/>
      <c r="J222" s="104"/>
      <c r="K222" s="110"/>
    </row>
    <row r="223" spans="1:12" s="3" customFormat="1" ht="12" customHeight="1" x14ac:dyDescent="0.25">
      <c r="A223" s="18"/>
      <c r="B223" s="4"/>
      <c r="C223" s="16"/>
      <c r="D223" s="182"/>
      <c r="E223" s="182"/>
      <c r="F223" s="174"/>
      <c r="G223" s="21"/>
      <c r="H223" s="109"/>
      <c r="I223" s="109"/>
      <c r="J223" s="104"/>
      <c r="K223" s="110"/>
    </row>
    <row r="224" spans="1:12" s="3" customFormat="1" ht="12" customHeight="1" x14ac:dyDescent="0.25">
      <c r="A224" s="18"/>
      <c r="B224" s="4"/>
      <c r="C224" s="16"/>
      <c r="D224" s="182"/>
      <c r="E224" s="182"/>
      <c r="F224" s="174"/>
      <c r="G224" s="21"/>
      <c r="H224" s="109"/>
      <c r="I224" s="109"/>
      <c r="J224" s="104"/>
      <c r="K224" s="110"/>
    </row>
    <row r="225" spans="1:11" s="3" customFormat="1" ht="12" customHeight="1" x14ac:dyDescent="0.25">
      <c r="A225" s="18"/>
      <c r="B225" s="4"/>
      <c r="C225" s="16"/>
      <c r="D225" s="182"/>
      <c r="E225" s="182"/>
      <c r="F225" s="174"/>
      <c r="G225" s="21"/>
      <c r="H225" s="109"/>
      <c r="I225" s="109"/>
      <c r="J225" s="104"/>
      <c r="K225" s="110"/>
    </row>
    <row r="226" spans="1:11" s="3" customFormat="1" ht="12" customHeight="1" x14ac:dyDescent="0.25">
      <c r="A226" s="18"/>
      <c r="B226" s="4"/>
      <c r="C226" s="16"/>
      <c r="D226" s="182"/>
      <c r="E226" s="182"/>
      <c r="F226" s="174"/>
      <c r="G226" s="21"/>
      <c r="H226" s="109"/>
      <c r="I226" s="109"/>
      <c r="J226" s="104"/>
      <c r="K226" s="110"/>
    </row>
    <row r="227" spans="1:11" s="3" customFormat="1" ht="12" customHeight="1" x14ac:dyDescent="0.25">
      <c r="A227" s="18"/>
      <c r="B227" s="4"/>
      <c r="C227" s="16"/>
      <c r="D227" s="182"/>
      <c r="E227" s="182"/>
      <c r="F227" s="174"/>
      <c r="G227" s="21"/>
      <c r="H227" s="109"/>
      <c r="I227" s="109"/>
      <c r="J227" s="104"/>
      <c r="K227" s="110"/>
    </row>
    <row r="228" spans="1:11" s="3" customFormat="1" ht="12" customHeight="1" x14ac:dyDescent="0.25">
      <c r="A228" s="18"/>
      <c r="B228" s="4"/>
      <c r="C228" s="16"/>
      <c r="D228" s="182"/>
      <c r="E228" s="182"/>
      <c r="F228" s="174"/>
      <c r="G228" s="21"/>
      <c r="H228" s="109"/>
      <c r="I228" s="109"/>
      <c r="J228" s="104"/>
      <c r="K228" s="110"/>
    </row>
    <row r="229" spans="1:11" s="3" customFormat="1" ht="12" customHeight="1" x14ac:dyDescent="0.25">
      <c r="A229" s="18"/>
      <c r="B229" s="4"/>
      <c r="C229" s="16"/>
      <c r="D229" s="182"/>
      <c r="E229" s="182"/>
      <c r="F229" s="174"/>
      <c r="G229" s="21"/>
      <c r="H229" s="109"/>
      <c r="I229" s="109"/>
      <c r="J229" s="104"/>
      <c r="K229" s="110"/>
    </row>
    <row r="230" spans="1:11" s="3" customFormat="1" ht="12" customHeight="1" x14ac:dyDescent="0.25">
      <c r="A230" s="18"/>
      <c r="B230" s="4"/>
      <c r="C230" s="16"/>
      <c r="D230" s="182"/>
      <c r="E230" s="182"/>
      <c r="F230" s="174"/>
      <c r="G230" s="21"/>
      <c r="H230" s="109"/>
      <c r="I230" s="109"/>
      <c r="J230" s="104"/>
      <c r="K230" s="110"/>
    </row>
    <row r="231" spans="1:11" s="3" customFormat="1" ht="12" customHeight="1" x14ac:dyDescent="0.25">
      <c r="A231" s="18"/>
      <c r="B231" s="4"/>
      <c r="C231" s="16"/>
      <c r="D231" s="182"/>
      <c r="E231" s="182"/>
      <c r="F231" s="174"/>
      <c r="G231" s="21"/>
      <c r="H231" s="109"/>
      <c r="I231" s="109"/>
      <c r="J231" s="104"/>
      <c r="K231" s="110"/>
    </row>
    <row r="232" spans="1:11" s="3" customFormat="1" ht="12" customHeight="1" x14ac:dyDescent="0.25">
      <c r="A232" s="18"/>
      <c r="B232" s="4"/>
      <c r="C232" s="16"/>
      <c r="D232" s="182"/>
      <c r="E232" s="182"/>
      <c r="F232" s="174"/>
      <c r="G232" s="21"/>
      <c r="H232" s="109"/>
      <c r="I232" s="109"/>
      <c r="J232" s="104"/>
      <c r="K232" s="110"/>
    </row>
    <row r="233" spans="1:11" s="3" customFormat="1" ht="12" customHeight="1" thickBot="1" x14ac:dyDescent="0.3">
      <c r="A233" s="102"/>
      <c r="B233" s="22"/>
      <c r="C233" s="112"/>
      <c r="D233" s="181"/>
      <c r="E233" s="181"/>
      <c r="F233" s="172"/>
      <c r="G233" s="103"/>
      <c r="H233" s="109"/>
      <c r="I233" s="109"/>
      <c r="J233" s="104"/>
      <c r="K233" s="110"/>
    </row>
    <row r="364" spans="2:2" x14ac:dyDescent="0.2">
      <c r="B364" s="2"/>
    </row>
  </sheetData>
  <mergeCells count="6">
    <mergeCell ref="B190:D190"/>
    <mergeCell ref="A2:G2"/>
    <mergeCell ref="A3:G3"/>
    <mergeCell ref="B4:G4"/>
    <mergeCell ref="B6:G6"/>
    <mergeCell ref="D7:G7"/>
  </mergeCells>
  <printOptions horizontalCentered="1"/>
  <pageMargins left="0.39370078740157483" right="0.39370078740157483" top="0.59055118110236227" bottom="0.59055118110236227" header="0" footer="0.39370078740157483"/>
  <pageSetup scale="88" orientation="portrait" r:id="rId1"/>
  <headerFooter alignWithMargins="0">
    <oddFooter>&amp;C&amp;"Arial Narrow,Normal"&amp;7"Este programa es público, ajeno a cualquier partido político.  Queda prohibido el uso para fines distintos a los establecidos en el programa"&amp;R&amp;"Arial Narrow,Negrita"&amp;7Página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</vt:i4>
      </vt:variant>
    </vt:vector>
  </HeadingPairs>
  <TitlesOfParts>
    <vt:vector size="11" baseType="lpstr">
      <vt:lpstr>DESGLOSE</vt:lpstr>
      <vt:lpstr>DESGLOSE 1</vt:lpstr>
      <vt:lpstr>SANTIAGO BAYACORA AL TANQUE (2)</vt:lpstr>
      <vt:lpstr>'SANTIAGO BAYACORA AL TANQUE (2)'!\a</vt:lpstr>
      <vt:lpstr>'SANTIAGO BAYACORA AL TANQUE (2)'!\A_</vt:lpstr>
      <vt:lpstr>'SANTIAGO BAYACORA AL TANQUE (2)'!\z</vt:lpstr>
      <vt:lpstr>'SANTIAGO BAYACORA AL TANQUE (2)'!Área_de_impresión</vt:lpstr>
      <vt:lpstr>'SANTIAGO BAYACORA AL TANQUE (2)'!ES</vt:lpstr>
      <vt:lpstr>'SANTIAGO BAYACORA AL TANQUE (2)'!Imprimir_área_IM</vt:lpstr>
      <vt:lpstr>'SANTIAGO BAYACORA AL TANQUE (2)'!Imprimir_títulos_IM</vt:lpstr>
      <vt:lpstr>'SANTIAGO BAYACORA AL TANQUE (2)'!Títulos_a_imprimir</vt:lpstr>
    </vt:vector>
  </TitlesOfParts>
  <Company>Acer 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lastPrinted>2025-11-11T17:36:35Z</cp:lastPrinted>
  <dcterms:created xsi:type="dcterms:W3CDTF">2001-02-22T23:14:28Z</dcterms:created>
  <dcterms:modified xsi:type="dcterms:W3CDTF">2025-11-11T19:54:23Z</dcterms:modified>
</cp:coreProperties>
</file>